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ftrevino\Dropbox (Avidyne)\User Directories\ftrevino\Documents\Conflict Minerals\"/>
    </mc:Choice>
  </mc:AlternateContent>
  <xr:revisionPtr revIDLastSave="0" documentId="13_ncr:1_{5B9964BC-A562-4770-BC97-AF255F36DDE2}"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74" i="5"/>
  <c r="S58" i="5"/>
  <c r="S42"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H79" i="5"/>
  <c r="F79" i="5"/>
  <c r="E79" i="5"/>
  <c r="X79" i="5" s="1"/>
  <c r="I79" i="5"/>
  <c r="G79" i="5"/>
  <c r="X47" i="5"/>
  <c r="H127" i="5"/>
  <c r="R127" i="5"/>
  <c r="J127" i="5"/>
  <c r="I127" i="5"/>
  <c r="E127" i="5"/>
  <c r="X127" i="5" s="1"/>
  <c r="V330" i="5"/>
  <c r="G330" i="5" s="1"/>
  <c r="T895" i="5"/>
  <c r="AB895" i="5"/>
  <c r="S895" i="5"/>
  <c r="AB1863" i="5"/>
  <c r="T1863" i="5"/>
  <c r="S1863" i="5"/>
  <c r="R5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X26" i="5"/>
  <c r="X63" i="5"/>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R22"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74" i="5"/>
  <c r="G86" i="5"/>
  <c r="J107" i="5"/>
  <c r="AB178" i="5"/>
  <c r="V215" i="5"/>
  <c r="G215" i="5" s="1"/>
  <c r="R299" i="5"/>
  <c r="J299" i="5"/>
  <c r="E392" i="5"/>
  <c r="X392" i="5" s="1"/>
  <c r="I392" i="5"/>
  <c r="H392" i="5"/>
  <c r="AB110" i="5"/>
  <c r="R30"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E73" i="5"/>
  <c r="X73" i="5" s="1"/>
  <c r="I73" i="5"/>
  <c r="F109" i="5"/>
  <c r="R109" i="5"/>
  <c r="G133" i="5"/>
  <c r="R133" i="5"/>
  <c r="F133" i="5"/>
  <c r="F169" i="5"/>
  <c r="R169" i="5"/>
  <c r="G169" i="5"/>
  <c r="E169" i="5"/>
  <c r="X169" i="5" s="1"/>
  <c r="H195" i="5"/>
  <c r="F195" i="5"/>
  <c r="E195" i="5"/>
  <c r="X195" i="5" s="1"/>
  <c r="R195" i="5"/>
  <c r="I195" i="5"/>
  <c r="J195" i="5"/>
  <c r="G195" i="5"/>
  <c r="R67" i="5"/>
  <c r="X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27" i="5"/>
  <c r="R27" i="5"/>
  <c r="H83" i="5"/>
  <c r="R83" i="5"/>
  <c r="J83" i="5"/>
  <c r="I83" i="5"/>
  <c r="F83" i="5"/>
  <c r="E83" i="5"/>
  <c r="X83" i="5" s="1"/>
  <c r="R51" i="5"/>
  <c r="X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X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F249" i="5"/>
  <c r="R39"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E81" i="5"/>
  <c r="X81" i="5" s="1"/>
  <c r="I82"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AB28" i="5"/>
  <c r="R29" i="5"/>
  <c r="AB34" i="5"/>
  <c r="AB38" i="5"/>
  <c r="AB42" i="5"/>
  <c r="AB46" i="5"/>
  <c r="AB50" i="5"/>
  <c r="AB54" i="5"/>
  <c r="AB58" i="5"/>
  <c r="AB62"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AB29" i="5"/>
  <c r="AB35" i="5"/>
  <c r="AB39" i="5"/>
  <c r="AB43" i="5"/>
  <c r="AB47" i="5"/>
  <c r="AB51" i="5"/>
  <c r="AB55" i="5"/>
  <c r="AB59" i="5"/>
  <c r="AB63"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193" i="5"/>
  <c r="S203" i="5"/>
  <c r="T182" i="5"/>
  <c r="T165" i="5"/>
  <c r="T213" i="5"/>
  <c r="T384" i="5"/>
  <c r="T84" i="5"/>
  <c r="T123" i="5"/>
  <c r="T250" i="5"/>
  <c r="S85"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93" i="5"/>
  <c r="S113" i="5"/>
  <c r="S145" i="5"/>
  <c r="T154" i="5"/>
  <c r="T214" i="5"/>
  <c r="T298"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S75" i="5"/>
  <c r="T83" i="5"/>
  <c r="T106" i="5"/>
  <c r="T139" i="5"/>
  <c r="T173" i="5"/>
  <c r="T221" i="5"/>
  <c r="T242" i="5"/>
  <c r="S119" i="5"/>
  <c r="S183" i="5"/>
  <c r="T118" i="5"/>
  <c r="S131" i="5"/>
  <c r="S195" i="5"/>
  <c r="T111" i="5"/>
  <c r="T174" i="5"/>
  <c r="T331"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101" i="5"/>
  <c r="T113" i="5"/>
  <c r="S143" i="5"/>
  <c r="S175" i="5"/>
  <c r="S69" i="5"/>
  <c r="S89" i="5"/>
  <c r="S15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T145" i="5"/>
  <c r="T177" i="5"/>
  <c r="S81" i="5"/>
  <c r="T157" i="5"/>
  <c r="T81" i="5"/>
  <c r="T12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79" i="5"/>
  <c r="T99" i="5"/>
  <c r="T170" i="5"/>
  <c r="T203" i="5"/>
  <c r="T210" i="5"/>
  <c r="T274" i="5"/>
  <c r="T153" i="5"/>
  <c r="T351" i="5"/>
  <c r="T222" i="5"/>
  <c r="S73" i="5"/>
  <c r="T92" i="5"/>
  <c r="T97"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95" i="5"/>
  <c r="T319" i="5"/>
  <c r="T468" i="5"/>
  <c r="T261" i="5"/>
  <c r="T202" i="5"/>
  <c r="T499" i="5"/>
  <c r="T428" i="5"/>
  <c r="T86" i="5"/>
  <c r="T380" i="5"/>
  <c r="T456" i="5"/>
  <c r="T357" i="5"/>
  <c r="T311" i="5"/>
  <c r="T258" i="5"/>
  <c r="T352" i="5"/>
  <c r="T416" i="5"/>
  <c r="T432" i="5"/>
  <c r="T484" i="5"/>
  <c r="T266" i="5"/>
  <c r="T344" i="5"/>
  <c r="T146" i="5"/>
  <c r="T117" i="5"/>
  <c r="T404" i="5"/>
  <c r="S35" i="5"/>
  <c r="T44" i="5"/>
  <c r="T31" i="5"/>
  <c r="T64" i="5"/>
  <c r="T67" i="5"/>
  <c r="T30" i="5"/>
  <c r="S28" i="5"/>
  <c r="T59" i="5"/>
  <c r="T49" i="5"/>
  <c r="T63" i="5"/>
  <c r="T61" i="5"/>
  <c r="T36" i="5"/>
  <c r="S47" i="5"/>
  <c r="T23" i="5"/>
  <c r="T40" i="5"/>
  <c r="S41" i="5"/>
  <c r="T57" i="5"/>
  <c r="T27" i="5"/>
  <c r="S55" i="5"/>
  <c r="S31" i="5"/>
  <c r="S57" i="5"/>
  <c r="T6" i="5"/>
  <c r="S18" i="5"/>
  <c r="S53" i="5"/>
  <c r="T33" i="5"/>
  <c r="T38" i="5"/>
  <c r="T22" i="5"/>
  <c r="T51" i="5"/>
  <c r="T34" i="5"/>
  <c r="T53" i="5"/>
  <c r="T5" i="5"/>
  <c r="T54" i="5"/>
  <c r="T50" i="5"/>
  <c r="S61" i="5"/>
  <c r="S45" i="5"/>
  <c r="S65" i="5"/>
  <c r="T37" i="5"/>
  <c r="T39" i="5"/>
  <c r="T46" i="5"/>
  <c r="T62" i="5"/>
  <c r="T45" i="5"/>
  <c r="S51" i="5"/>
  <c r="S19" i="5"/>
  <c r="T20" i="5"/>
  <c r="T66" i="5"/>
  <c r="T42" i="5"/>
  <c r="S67" i="5"/>
  <c r="S33" i="5"/>
  <c r="T41" i="5"/>
  <c r="T65" i="5"/>
  <c r="T47" i="5"/>
  <c r="T58" i="5"/>
  <c r="S26" i="5"/>
  <c r="S49" i="5"/>
  <c r="S27" i="5"/>
  <c r="T52" i="5"/>
  <c r="T24" i="5"/>
  <c r="T28" i="5"/>
  <c r="S39" i="5"/>
  <c r="T56" i="5"/>
  <c r="T25" i="5"/>
  <c r="T26" i="5"/>
  <c r="T18" i="5"/>
  <c r="T60" i="5"/>
  <c r="T32" i="5"/>
  <c r="T35" i="5"/>
  <c r="S25" i="5"/>
  <c r="T29" i="5"/>
  <c r="T21" i="5"/>
  <c r="T19" i="5"/>
  <c r="T55" i="5"/>
  <c r="T48" i="5"/>
  <c r="S59" i="5"/>
  <c r="C11" i="6" l="1"/>
  <c r="C4" i="6"/>
  <c r="C9"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R43" i="5"/>
  <c r="H91" i="5"/>
  <c r="R91" i="5"/>
  <c r="E91" i="5"/>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 i="5"/>
  <c r="S50" i="5"/>
  <c r="S38" i="5"/>
  <c r="S6" i="5"/>
  <c r="S40" i="5"/>
  <c r="S30" i="5"/>
  <c r="T43" i="5"/>
  <c r="S36" i="5"/>
  <c r="S34" i="5"/>
  <c r="S56" i="5"/>
  <c r="S46" i="5"/>
  <c r="S22" i="5"/>
  <c r="S20" i="5"/>
  <c r="S44" i="5"/>
  <c r="S21" i="5"/>
  <c r="S24" i="5"/>
  <c r="S23" i="5"/>
  <c r="S63" i="5"/>
  <c r="S52" i="5"/>
  <c r="S54" i="5"/>
  <c r="S62" i="5"/>
  <c r="S29" i="5"/>
  <c r="S64" i="5"/>
  <c r="S32" i="5"/>
  <c r="S66" i="5"/>
  <c r="S48" i="5"/>
  <c r="S37" i="5"/>
  <c r="S60" i="5"/>
  <c r="H36" i="6" l="1"/>
  <c r="D36"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43" i="5"/>
  <c r="C40" i="6" l="1"/>
  <c r="D26"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7" i="5"/>
  <c r="T12" i="5"/>
  <c r="T11" i="5"/>
  <c r="T14" i="5"/>
  <c r="T10" i="5"/>
  <c r="T8" i="5"/>
  <c r="T7" i="5"/>
  <c r="T9" i="5"/>
  <c r="T15" i="5"/>
  <c r="T16" i="5"/>
  <c r="T13" i="5"/>
  <c r="C68" i="6" l="1"/>
  <c r="X13" i="5"/>
  <c r="X10" i="5"/>
  <c r="D65" i="6"/>
  <c r="X9" i="5"/>
  <c r="X12" i="5"/>
  <c r="X14" i="5"/>
  <c r="X17" i="5"/>
  <c r="D66" i="6"/>
  <c r="C67" i="6"/>
  <c r="X11" i="5"/>
  <c r="X15" i="5"/>
  <c r="X8" i="5"/>
  <c r="X7" i="5"/>
  <c r="G69" i="6"/>
  <c r="H69" i="6" s="1"/>
  <c r="H70" i="6" s="1"/>
  <c r="D2" i="6" s="1"/>
  <c r="X16" i="5"/>
  <c r="D55" i="6"/>
  <c r="C55" i="6"/>
  <c r="D56" i="6"/>
  <c r="C56" i="6"/>
  <c r="S13" i="5"/>
  <c r="S14" i="5"/>
  <c r="S11" i="5"/>
  <c r="S8" i="5"/>
  <c r="S9" i="5"/>
  <c r="S7" i="5"/>
  <c r="S10" i="5"/>
  <c r="S17" i="5"/>
  <c r="S12" i="5"/>
  <c r="S16"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<sst xmlns="http://schemas.openxmlformats.org/spreadsheetml/2006/main" count="22410" uniqueCount="15618">
  <si>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</si>
  <si>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</si>
  <si>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</si>
  <si>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</si>
  <si>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</si>
  <si>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</si>
  <si>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</si>
  <si>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</si>
  <si>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</si>
  <si>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</si>
  <si>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</si>
  <si>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</si>
  <si>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</si>
  <si>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</si>
  <si>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</si>
  <si>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</si>
  <si>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</si>
  <si>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</si>
  <si>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</si>
  <si>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</si>
  <si>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</si>
  <si>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</si>
  <si>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</si>
  <si>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</si>
  <si>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</si>
  <si>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</si>
  <si>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</si>
  <si>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</si>
  <si>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</si>
  <si>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</si>
  <si>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</si>
  <si>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</si>
  <si>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</si>
  <si>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</si>
  <si>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</si>
  <si>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</si>
  <si>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</si>
  <si>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</si>
  <si>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</si>
  <si>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</si>
  <si>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</si>
  <si>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</si>
  <si>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</si>
  <si>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</si>
  <si>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</si>
  <si>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</si>
  <si>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</si>
  <si>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</si>
  <si>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</si>
  <si>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</si>
  <si>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</si>
  <si>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</si>
  <si>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</si>
  <si>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</si>
  <si>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</si>
  <si>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</si>
  <si>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</si>
  <si>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</si>
  <si>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</si>
  <si>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</si>
  <si>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</si>
  <si>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</si>
  <si>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</si>
  <si>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</si>
  <si>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</si>
  <si>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</si>
  <si>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</si>
  <si>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</si>
  <si>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</si>
  <si>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</si>
  <si>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</si>
  <si>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</si>
  <si>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</si>
  <si>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</si>
  <si>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</si>
  <si>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</si>
  <si>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</si>
  <si>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</si>
  <si>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</si>
  <si>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</si>
  <si>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</si>
  <si>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</si>
  <si>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</si>
  <si>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</si>
  <si>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</si>
  <si>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</si>
  <si>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</si>
  <si>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</si>
  <si>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</si>
  <si>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</si>
  <si>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</si>
  <si>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</si>
  <si>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</si>
  <si>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</si>
  <si>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</si>
  <si>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</si>
  <si>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</si>
  <si>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</si>
  <si>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</si>
  <si>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</si>
  <si>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</si>
  <si>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</si>
  <si>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</si>
  <si>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</si>
  <si>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</si>
  <si>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</si>
  <si>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</si>
  <si>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</si>
  <si>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</si>
  <si>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</si>
  <si>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</si>
  <si>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</si>
  <si>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</si>
  <si>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</si>
  <si>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</si>
  <si>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</si>
  <si>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</si>
  <si>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</si>
  <si>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</si>
  <si>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</si>
  <si>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</si>
  <si>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</si>
  <si>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</si>
  <si>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</si>
  <si>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</si>
  <si>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</si>
  <si>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</si>
  <si>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</si>
  <si>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</si>
  <si>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</si>
  <si>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</si>
  <si>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</si>
  <si>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</si>
  <si>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</si>
  <si>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</si>
  <si>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</si>
  <si>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</si>
  <si>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</si>
  <si>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</si>
  <si>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</si>
  <si>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</si>
  <si>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</si>
  <si>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</si>
  <si>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</si>
  <si>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</si>
  <si>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</si>
  <si>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</si>
  <si>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</si>
  <si>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</si>
  <si>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</si>
  <si>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</si>
  <si>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</si>
  <si>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</si>
  <si>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</si>
  <si>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</si>
  <si>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</si>
  <si>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</si>
  <si>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</si>
  <si>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</si>
  <si>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</si>
  <si>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</si>
  <si>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</si>
  <si>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</si>
  <si>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</si>
  <si>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</si>
  <si>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</si>
  <si>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</si>
  <si>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</si>
  <si>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</si>
  <si>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</si>
  <si>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</si>
  <si>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</si>
  <si>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</si>
  <si>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</si>
  <si>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</si>
  <si>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</si>
  <si>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</si>
  <si>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</si>
  <si>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</si>
  <si>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</si>
  <si>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</si>
  <si>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</si>
  <si>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</si>
  <si>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</si>
  <si>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</si>
  <si>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</si>
  <si>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</si>
  <si>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</si>
  <si>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</si>
  <si>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</si>
  <si>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</si>
  <si>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</si>
  <si>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</si>
  <si>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</si>
  <si>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</si>
  <si>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</si>
  <si>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</si>
  <si>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</si>
  <si>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</si>
  <si>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</si>
  <si>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</si>
  <si>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</si>
  <si>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</si>
  <si>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</si>
  <si>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</si>
  <si>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</si>
  <si>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</si>
  <si>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</si>
  <si>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</si>
  <si>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</si>
  <si>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</si>
  <si>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</si>
  <si>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</si>
  <si>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</si>
  <si>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</si>
  <si>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</si>
  <si>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</si>
  <si>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</si>
  <si>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</si>
  <si>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</si>
  <si>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</si>
  <si>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</si>
  <si>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</si>
  <si>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</si>
  <si>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</si>
  <si>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</si>
  <si>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</si>
  <si>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</si>
  <si>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</si>
  <si>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</si>
  <si>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</si>
  <si>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</si>
  <si>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</si>
  <si>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</si>
  <si>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</si>
  <si>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</si>
  <si>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</si>
  <si>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</si>
  <si>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</si>
  <si>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</si>
  <si>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</si>
  <si>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</si>
  <si>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</si>
  <si>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</si>
  <si>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</si>
  <si>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</si>
  <si>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</si>
  <si>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</si>
  <si>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</si>
  <si>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</si>
  <si>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</si>
  <si>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</si>
  <si>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</si>
  <si>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</si>
  <si>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</si>
  <si>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</si>
  <si>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</si>
  <si>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</si>
  <si>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</si>
  <si>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</si>
  <si>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</si>
  <si>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</si>
  <si>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</si>
  <si>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</si>
  <si>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</si>
  <si>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</si>
  <si>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</si>
  <si>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</si>
  <si>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</si>
  <si>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</si>
  <si>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</si>
  <si>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</si>
  <si>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</si>
  <si>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</si>
  <si>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</si>
  <si>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</si>
  <si>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</si>
  <si>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</si>
  <si>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</si>
  <si>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</si>
  <si>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</si>
  <si>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</si>
  <si>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</si>
  <si>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</si>
  <si>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</si>
  <si>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</si>
  <si>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</si>
  <si>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</si>
  <si>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</si>
  <si>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</si>
  <si>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</si>
  <si>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</si>
  <si>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</si>
  <si>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</si>
  <si>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</si>
  <si>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</si>
  <si>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</si>
  <si>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</si>
  <si>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</si>
  <si>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</si>
  <si>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</si>
  <si>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</si>
  <si>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</si>
  <si>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</si>
  <si>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</si>
  <si>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</si>
  <si>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</si>
  <si>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</si>
  <si>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</si>
  <si>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</si>
  <si>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</si>
  <si>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</si>
  <si>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</si>
  <si>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</si>
  <si>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</si>
  <si>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</si>
  <si>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</si>
  <si>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</si>
  <si>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</si>
  <si>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</si>
  <si>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</si>
  <si>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</si>
  <si>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</si>
  <si>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</si>
  <si>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</si>
  <si>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</si>
  <si>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</si>
  <si>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</si>
  <si>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</si>
  <si>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</si>
  <si>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</si>
  <si>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</si>
  <si>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</si>
  <si>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</si>
  <si>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</si>
  <si>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</si>
  <si>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</si>
  <si>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</si>
  <si>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</si>
  <si>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</si>
  <si>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</si>
  <si>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</si>
  <si>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</si>
  <si>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</si>
  <si>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</si>
  <si>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</si>
  <si>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</si>
  <si>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</si>
  <si>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</si>
  <si>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</si>
  <si>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</si>
  <si>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</si>
  <si>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</si>
  <si>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</si>
  <si>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</si>
  <si>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</si>
  <si>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</si>
  <si>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</si>
  <si>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</si>
  <si>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</si>
  <si>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</si>
  <si>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</si>
  <si>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</si>
  <si>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</si>
  <si>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</si>
  <si>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</si>
  <si>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</si>
  <si>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</si>
  <si>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</si>
  <si>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</si>
  <si>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</si>
  <si>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</si>
  <si>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</si>
  <si>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</si>
  <si>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</si>
  <si>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</si>
  <si>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</si>
  <si>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</si>
  <si>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</si>
  <si>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</si>
  <si>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</si>
  <si>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</si>
  <si>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</si>
  <si>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</si>
  <si>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</si>
  <si>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</si>
  <si>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</si>
  <si>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</si>
  <si>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</si>
  <si>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</si>
  <si>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</si>
  <si>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</si>
  <si>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</si>
  <si>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</si>
  <si>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</si>
  <si>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</si>
  <si>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</si>
  <si>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</si>
  <si>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</si>
  <si>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</si>
  <si>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</si>
  <si>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</si>
  <si>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</si>
  <si>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</si>
  <si>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</si>
  <si>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</si>
  <si>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</si>
  <si>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</si>
  <si>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</si>
  <si>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</si>
  <si>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</si>
  <si>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</si>
  <si>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</si>
  <si>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</si>
  <si>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</si>
  <si>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</si>
  <si>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</si>
  <si>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</si>
  <si>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</si>
  <si>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</si>
  <si>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</si>
  <si>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</si>
  <si>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</si>
  <si>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</si>
  <si>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</si>
  <si>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</si>
  <si>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</si>
  <si>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</si>
  <si>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</si>
  <si>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</si>
  <si>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</si>
  <si>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</si>
  <si>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</si>
  <si>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</si>
  <si>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</si>
  <si>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</si>
  <si>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</si>
  <si>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</si>
  <si>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</si>
  <si>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</si>
  <si>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</si>
  <si>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</si>
  <si>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</si>
  <si>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</si>
  <si>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</si>
  <si>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</si>
  <si>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</si>
  <si>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</si>
  <si>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</si>
  <si>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</si>
  <si>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</si>
  <si>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</si>
  <si>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</si>
  <si>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</si>
  <si>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</si>
  <si>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</si>
  <si>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</si>
  <si>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</si>
  <si>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</si>
  <si>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</si>
  <si>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</si>
  <si>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</si>
  <si>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</si>
  <si>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</si>
  <si>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</si>
  <si>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</si>
  <si>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</si>
  <si>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</si>
  <si>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</si>
  <si>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</si>
  <si>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</si>
  <si>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</si>
  <si>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</si>
  <si>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</si>
  <si>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</si>
  <si>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</si>
  <si>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</si>
  <si>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</si>
  <si>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</si>
  <si>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</si>
  <si>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</si>
  <si>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</si>
  <si>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</si>
  <si>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</si>
  <si>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</si>
  <si>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</si>
  <si>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</si>
  <si>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</si>
  <si>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</si>
  <si>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</si>
  <si>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</si>
  <si>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</si>
  <si>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</si>
  <si>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</si>
  <si>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</si>
  <si>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</si>
  <si>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</si>
  <si>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</si>
  <si>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</si>
  <si>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</si>
  <si>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</si>
  <si>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</si>
  <si>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</si>
  <si>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</si>
  <si>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</si>
  <si>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</si>
  <si>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</si>
  <si>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</si>
  <si>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</si>
  <si>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</si>
  <si>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</si>
  <si>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</si>
  <si>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</si>
  <si>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</si>
  <si>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</si>
  <si>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</si>
  <si>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</si>
  <si>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</si>
  <si>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</si>
  <si>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</si>
  <si>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</si>
  <si>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</si>
  <si>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</si>
  <si>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</si>
  <si>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</si>
  <si>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</si>
  <si>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</si>
  <si>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</si>
  <si>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</si>
  <si>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</si>
  <si>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</si>
  <si>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</si>
  <si>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</si>
  <si>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</si>
  <si>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</si>
  <si>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</si>
  <si>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</si>
  <si>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</si>
  <si>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</si>
  <si>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</si>
  <si>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</si>
  <si>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</si>
  <si>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</si>
  <si>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</si>
  <si>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</si>
  <si>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</si>
  <si>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</si>
  <si>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</si>
  <si>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</si>
  <si>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</si>
  <si>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</si>
  <si>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</si>
  <si>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</si>
  <si>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</si>
  <si>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</si>
  <si>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</si>
  <si>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</si>
  <si>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</si>
  <si>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</si>
  <si>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</si>
  <si>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</si>
  <si>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</si>
  <si>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</si>
  <si>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</si>
  <si>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</si>
  <si>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</si>
  <si>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</si>
  <si>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</si>
  <si>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</si>
  <si>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</si>
  <si>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</si>
  <si>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</si>
  <si>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</si>
  <si>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</si>
  <si>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</si>
  <si>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</si>
  <si>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</si>
  <si>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</si>
  <si>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</si>
  <si>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</si>
  <si>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</si>
  <si>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</si>
  <si>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</si>
  <si>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</si>
  <si>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</si>
  <si>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</si>
  <si>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</si>
  <si>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</si>
  <si>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</si>
  <si>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</si>
  <si>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</si>
  <si>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</si>
  <si>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</si>
  <si>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</si>
  <si>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</si>
  <si>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</si>
  <si>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</si>
  <si>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</si>
  <si>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</si>
  <si>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</si>
  <si>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</si>
  <si>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</si>
  <si>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</si>
  <si>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</si>
  <si>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</si>
  <si>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</si>
  <si>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</si>
  <si>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</si>
  <si>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</si>
  <si>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</si>
  <si>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</si>
  <si>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</si>
  <si>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</si>
  <si>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</si>
  <si>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</si>
  <si>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</si>
  <si>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</si>
  <si>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</si>
  <si>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</si>
  <si>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</si>
  <si>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</si>
  <si>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</si>
  <si>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</si>
  <si>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</si>
  <si>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</si>
  <si>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</si>
  <si>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</si>
  <si>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</si>
  <si>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</si>
  <si>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</si>
  <si>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</si>
  <si>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</si>
  <si>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</si>
  <si>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</si>
  <si>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</si>
  <si>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</si>
  <si>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</si>
  <si>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</si>
  <si>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</si>
  <si>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</si>
  <si>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</si>
  <si>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</si>
  <si>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</si>
  <si>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</si>
  <si>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</si>
  <si>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</si>
  <si>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</si>
  <si>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</si>
  <si>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</si>
  <si>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</si>
  <si>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</si>
  <si>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</si>
  <si>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</si>
  <si>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</si>
  <si>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</si>
  <si>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</si>
  <si>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</si>
  <si>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</si>
  <si>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</si>
  <si>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</si>
  <si>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</si>
  <si>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</si>
  <si>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</si>
  <si>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</si>
  <si>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</si>
  <si>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</si>
  <si>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</si>
  <si>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</si>
  <si>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</si>
  <si>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</si>
  <si>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</si>
  <si>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</si>
  <si>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</si>
  <si>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</si>
  <si>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</si>
  <si>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</si>
  <si>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</si>
  <si>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</si>
  <si>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</si>
  <si>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</si>
  <si>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</si>
  <si>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</si>
  <si>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</si>
  <si>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</si>
  <si>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</si>
  <si>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</si>
  <si>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</si>
  <si>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</si>
  <si>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</si>
  <si>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</si>
  <si>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</si>
  <si>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</si>
  <si>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</si>
  <si>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</si>
  <si>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</si>
  <si>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</si>
  <si>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</si>
  <si>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</si>
  <si>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</si>
  <si>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</si>
  <si>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</si>
  <si>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</si>
  <si>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</si>
  <si>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</si>
  <si>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</si>
  <si>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</si>
  <si>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</si>
  <si>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</si>
  <si>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</si>
  <si>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</si>
  <si>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</si>
  <si>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</si>
  <si>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</si>
  <si>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</si>
  <si>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</si>
  <si>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</si>
  <si>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</si>
  <si>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</si>
  <si>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</si>
  <si>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</si>
  <si>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</si>
  <si>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</si>
  <si>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</si>
  <si>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</si>
  <si>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</si>
  <si>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</si>
  <si>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</si>
  <si>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</si>
  <si>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</si>
  <si>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</si>
  <si>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</si>
  <si>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</si>
  <si>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</si>
  <si>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</si>
  <si>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</si>
  <si>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</si>
  <si>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</si>
  <si>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</si>
  <si>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</si>
  <si>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</si>
  <si>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</si>
  <si>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</si>
  <si>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</si>
  <si>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</si>
  <si>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</si>
  <si>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</si>
  <si>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</si>
  <si>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</si>
  <si>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</si>
  <si>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</si>
  <si>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</si>
  <si>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</si>
  <si>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</si>
  <si>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</si>
  <si>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</si>
  <si>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</si>
  <si>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</si>
  <si>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</si>
  <si>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</si>
  <si>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</si>
  <si>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</si>
  <si>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</si>
  <si>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</si>
  <si>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</si>
  <si>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</si>
  <si>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</si>
  <si>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</si>
  <si>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</si>
  <si>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</si>
  <si>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</si>
  <si>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</si>
  <si>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</si>
  <si>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</si>
  <si>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</si>
  <si>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</si>
  <si>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</si>
  <si>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</si>
  <si>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</si>
  <si>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</si>
  <si>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</si>
  <si>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</si>
  <si>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</si>
  <si>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</si>
  <si>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</si>
  <si>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</si>
  <si>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</si>
  <si>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</si>
  <si>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</si>
  <si>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</si>
  <si>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</si>
  <si>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</si>
  <si>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</si>
  <si>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</si>
  <si>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</si>
  <si>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</si>
  <si>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</si>
  <si>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</si>
  <si>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</si>
  <si>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</si>
  <si>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</si>
  <si>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</si>
  <si>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</si>
  <si>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</si>
  <si>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</si>
  <si>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</si>
  <si>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</si>
  <si>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</si>
  <si>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</si>
  <si>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</si>
  <si>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</si>
  <si>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</si>
  <si>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</si>
  <si>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</si>
  <si>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</si>
  <si>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</si>
  <si>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</si>
  <si>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</si>
  <si>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</si>
  <si>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</si>
  <si>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</si>
  <si>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</si>
  <si>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</si>
  <si>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</si>
  <si>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</si>
  <si>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</si>
  <si>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</si>
  <si>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</si>
  <si>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</si>
  <si>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</si>
  <si>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</si>
  <si>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</si>
  <si>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</si>
  <si>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</si>
  <si>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</si>
  <si>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</si>
  <si>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</si>
  <si>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</si>
  <si>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</si>
  <si>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</si>
  <si>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</si>
  <si>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</si>
  <si>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</si>
  <si>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</si>
  <si>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</si>
  <si>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</si>
  <si>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</si>
  <si>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</si>
  <si>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</si>
  <si>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</si>
  <si>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</si>
  <si>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</si>
  <si>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</si>
  <si>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</si>
  <si>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</si>
  <si>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</si>
  <si>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</si>
  <si>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</si>
  <si>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</si>
  <si>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</si>
  <si>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</si>
  <si>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</si>
  <si>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</si>
  <si>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</si>
  <si>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</si>
  <si>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</si>
  <si>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</si>
  <si>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</si>
  <si>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</si>
  <si>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</si>
  <si>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</si>
  <si>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</si>
  <si>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</si>
  <si>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</si>
  <si>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</si>
  <si>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</si>
  <si>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</si>
  <si>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</si>
  <si>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</si>
  <si>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</si>
  <si>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</si>
  <si>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</si>
  <si>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</si>
  <si>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</si>
  <si>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</si>
  <si>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</si>
  <si>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</si>
  <si>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</si>
  <si>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</si>
  <si>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</si>
  <si>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</si>
  <si>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</si>
  <si>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</si>
  <si>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</si>
  <si>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</si>
  <si>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</si>
  <si>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</si>
  <si>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</si>
  <si>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</si>
  <si>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</si>
  <si>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</si>
  <si>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</si>
  <si>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</si>
  <si>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</si>
  <si>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</si>
  <si>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</si>
  <si>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</si>
  <si>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</si>
  <si>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</si>
  <si>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</si>
  <si>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</si>
  <si>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</si>
  <si>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</si>
  <si>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</si>
  <si>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</si>
  <si>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</si>
  <si>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</si>
  <si>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</si>
  <si>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</si>
  <si>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</si>
  <si>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</si>
  <si>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</si>
  <si>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</si>
  <si>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</si>
  <si>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</si>
  <si>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</si>
  <si>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</si>
  <si>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</si>
  <si>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</si>
  <si>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</si>
  <si>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</si>
  <si>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</si>
  <si>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</si>
  <si>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</si>
  <si>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</si>
  <si>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</si>
  <si>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</si>
  <si>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</si>
  <si>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</si>
  <si>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</si>
  <si>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</si>
  <si>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</si>
  <si>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</si>
  <si>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</si>
  <si>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</si>
  <si>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</si>
  <si>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</si>
  <si>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</si>
  <si>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</si>
  <si>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</si>
  <si>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</si>
  <si>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</si>
  <si>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</si>
  <si>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</si>
  <si>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</si>
  <si>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</si>
  <si>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</si>
  <si>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</si>
  <si>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</si>
  <si>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</si>
  <si>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</si>
  <si>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</si>
  <si>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</si>
  <si>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</si>
  <si>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</si>
  <si>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</si>
  <si>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</si>
  <si>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</si>
  <si>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</si>
  <si>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</si>
  <si>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</si>
  <si>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</si>
  <si>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</si>
  <si>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</si>
  <si>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</si>
  <si>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</si>
  <si>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</si>
  <si>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</si>
  <si>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</si>
  <si>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</si>
  <si>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</si>
  <si>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</si>
  <si>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</si>
  <si>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</si>
  <si>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</si>
  <si>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</si>
  <si>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</si>
  <si>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</si>
  <si>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</si>
  <si>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</si>
  <si>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</si>
  <si>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</si>
  <si>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</si>
  <si>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</si>
  <si>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</si>
  <si>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</si>
  <si>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</si>
  <si>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</si>
  <si>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</si>
  <si>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</si>
  <si>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</si>
  <si>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</si>
  <si>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</si>
  <si>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</si>
  <si>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</si>
  <si>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</si>
  <si>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</si>
  <si>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</si>
  <si>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</si>
  <si>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</si>
  <si>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</si>
  <si>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</si>
  <si>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</si>
  <si>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</si>
  <si>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</si>
  <si>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</si>
  <si>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</si>
  <si>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</si>
  <si>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</si>
  <si>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</si>
  <si>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</si>
  <si>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</si>
  <si>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</si>
  <si>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</si>
  <si>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</si>
  <si>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</si>
  <si>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</si>
  <si>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</si>
  <si>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</si>
  <si>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</si>
  <si>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</si>
  <si>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</si>
  <si>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</si>
  <si>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</si>
  <si>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</si>
  <si>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</si>
  <si>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</si>
  <si>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</si>
  <si>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</si>
  <si>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</si>
  <si>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</si>
  <si>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</si>
  <si>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</si>
  <si>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</si>
  <si>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</si>
  <si>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</si>
  <si>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</si>
  <si>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</si>
  <si>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</si>
  <si>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</si>
  <si>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</si>
  <si>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</si>
  <si>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</si>
  <si>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</si>
  <si>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</si>
  <si>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</si>
  <si>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</si>
  <si>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</si>
  <si>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</si>
  <si>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</si>
  <si>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</si>
  <si>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</si>
  <si>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</si>
  <si>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</si>
  <si>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</si>
  <si>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</si>
  <si>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</si>
  <si>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</si>
  <si>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</si>
  <si>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</si>
  <si>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</si>
  <si>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</si>
  <si>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</si>
  <si>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</si>
  <si>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</si>
  <si>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</si>
  <si>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</si>
  <si>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</si>
  <si>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</si>
  <si>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</si>
  <si>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</si>
  <si>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</si>
  <si>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</si>
  <si>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</si>
  <si>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</si>
  <si>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</si>
  <si>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</si>
  <si>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</si>
  <si>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</si>
  <si>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</si>
  <si>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</si>
  <si>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</si>
  <si>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</si>
  <si>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</si>
  <si>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</si>
  <si>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</si>
  <si>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</si>
  <si>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</si>
  <si>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</si>
  <si>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</si>
  <si>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</si>
  <si>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</si>
  <si>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</si>
  <si>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</si>
  <si>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</si>
  <si>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</si>
  <si>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</si>
  <si>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</si>
  <si>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</si>
  <si>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</si>
  <si>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</si>
  <si>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</si>
  <si>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</si>
  <si>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</si>
  <si>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</si>
  <si>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</si>
  <si>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</si>
  <si>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</si>
  <si>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</si>
  <si>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</si>
  <si>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</si>
  <si>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</si>
  <si>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</si>
  <si>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</si>
  <si>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</si>
  <si>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</si>
  <si>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</si>
  <si>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</si>
  <si>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</si>
  <si>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</si>
  <si>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</si>
  <si>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</si>
  <si>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</si>
  <si>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</si>
  <si>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</si>
  <si>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</si>
  <si>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</si>
  <si>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</si>
  <si>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</si>
  <si>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</si>
  <si>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</si>
  <si>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</si>
  <si>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</si>
  <si>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</si>
  <si>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</si>
  <si>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</si>
  <si>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</si>
  <si>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</si>
  <si>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</si>
  <si>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</si>
  <si>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</si>
  <si>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</si>
  <si>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</si>
  <si>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</si>
  <si>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</si>
  <si>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</si>
  <si>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</si>
  <si>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</si>
  <si>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</si>
  <si>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</si>
  <si>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</si>
  <si>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</si>
  <si>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</si>
  <si>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</si>
  <si>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</si>
  <si>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</si>
  <si>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</si>
  <si>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</si>
  <si>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</si>
  <si>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</si>
  <si>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</si>
  <si>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</si>
  <si>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</si>
  <si>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</si>
  <si>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</si>
  <si>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</si>
  <si>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</si>
  <si>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</si>
  <si>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</si>
  <si>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</si>
  <si>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</si>
  <si>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</si>
  <si>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</si>
  <si>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</si>
  <si>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</si>
  <si>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</si>
  <si>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</si>
  <si>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</si>
  <si>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</si>
  <si>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</si>
  <si>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</si>
  <si>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</si>
  <si>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</si>
  <si>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</si>
  <si>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</si>
  <si>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</si>
  <si>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</si>
  <si>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</si>
  <si>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</si>
  <si>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</si>
  <si>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</si>
  <si>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</si>
  <si>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</si>
  <si>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</si>
  <si>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</si>
  <si>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</si>
  <si>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</si>
  <si>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</si>
  <si>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</si>
  <si>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</si>
  <si>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</si>
  <si>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</si>
  <si>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</si>
  <si>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</si>
  <si>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</si>
  <si>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</si>
  <si>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</si>
  <si>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</si>
  <si>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</si>
  <si>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</si>
  <si>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</si>
  <si>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</si>
  <si>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</si>
  <si>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</si>
  <si>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</si>
  <si>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</si>
  <si>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</si>
  <si>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</si>
  <si>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</si>
  <si>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</si>
  <si>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</si>
  <si>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</si>
  <si>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</si>
  <si>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</si>
  <si>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</si>
  <si>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</si>
  <si>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</si>
  <si>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</si>
  <si>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</si>
  <si>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</si>
  <si>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</si>
  <si>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</si>
  <si>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</si>
  <si>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</si>
  <si>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</si>
  <si>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</si>
  <si>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</si>
  <si>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</si>
  <si>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</si>
  <si>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</si>
  <si>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</si>
  <si>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</si>
  <si>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</si>
  <si>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</si>
  <si>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</si>
  <si>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</si>
  <si>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</si>
  <si>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</si>
  <si>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</si>
  <si>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</si>
  <si>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</si>
  <si>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</si>
  <si>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</si>
  <si>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</si>
  <si>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</si>
  <si>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</si>
  <si>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</si>
  <si>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</si>
  <si>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</si>
  <si>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</si>
  <si>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</si>
  <si>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</si>
  <si>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</si>
  <si>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</si>
  <si>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</si>
  <si>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</si>
  <si>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</si>
  <si>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</si>
  <si>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</si>
  <si>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</si>
  <si>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</si>
  <si>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</si>
  <si>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</si>
  <si>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</si>
  <si>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</si>
  <si>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</si>
  <si>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</si>
  <si>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</si>
  <si>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</si>
  <si>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</si>
  <si>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</si>
  <si>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</si>
  <si>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</si>
  <si>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</si>
  <si>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</si>
  <si>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</si>
  <si>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</si>
  <si>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</si>
  <si>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</si>
  <si>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</si>
  <si>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</si>
  <si>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</si>
  <si>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</si>
  <si>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</si>
  <si>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</si>
  <si>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</si>
  <si>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</si>
  <si>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</si>
  <si>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</si>
  <si>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</si>
  <si>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</si>
  <si>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</si>
  <si>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</si>
  <si>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</si>
  <si>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</si>
  <si>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</si>
  <si>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</si>
  <si>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</si>
  <si>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</si>
  <si>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</si>
  <si>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</si>
  <si>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</si>
  <si>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</si>
  <si>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</si>
  <si>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</si>
  <si>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</si>
  <si>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</si>
  <si>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</si>
  <si>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</si>
  <si>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</si>
  <si>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</si>
  <si>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</si>
  <si>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</si>
  <si>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</si>
  <si>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</si>
  <si>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</si>
  <si>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</si>
  <si>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</si>
  <si>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</si>
  <si>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</si>
  <si>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</si>
  <si>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</si>
  <si>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</si>
  <si>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</si>
  <si>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</si>
  <si>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</si>
  <si>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</si>
  <si>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</si>
  <si>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</si>
  <si>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</si>
  <si>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</si>
  <si>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</si>
  <si>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</si>
  <si>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</si>
  <si>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</si>
  <si>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</si>
  <si>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</si>
  <si>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</si>
  <si>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</si>
  <si>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</si>
  <si>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</si>
  <si>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</si>
  <si>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</si>
  <si>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</si>
  <si>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</si>
  <si>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</si>
  <si>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</si>
  <si>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</si>
  <si>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</si>
  <si>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</si>
  <si>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</si>
  <si>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</si>
  <si>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</si>
  <si>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</si>
  <si>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</si>
  <si>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</si>
  <si>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</si>
  <si>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</si>
  <si>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</si>
  <si>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</si>
  <si>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</si>
  <si>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</si>
  <si>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</si>
  <si>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</si>
  <si>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</si>
  <si>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</si>
  <si>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</si>
  <si>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</si>
  <si>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</si>
  <si>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</si>
  <si>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</si>
  <si>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</si>
  <si>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</si>
  <si>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</si>
  <si>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</si>
  <si>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</si>
  <si>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</si>
  <si>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</si>
  <si>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</si>
  <si>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</si>
  <si>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</si>
  <si>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</si>
  <si>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</si>
  <si>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</si>
  <si>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</si>
  <si>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</si>
  <si>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</si>
  <si>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</si>
  <si>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</si>
  <si>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</si>
  <si>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</si>
  <si>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</si>
  <si>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</si>
  <si>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</si>
  <si>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</si>
  <si>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</si>
  <si>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</si>
  <si>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</si>
  <si>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</si>
  <si>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</si>
  <si>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</si>
  <si>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</si>
  <si>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</si>
  <si>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</si>
  <si>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</si>
  <si>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</si>
  <si>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</si>
  <si>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</si>
  <si>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</si>
  <si>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</si>
  <si>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</si>
  <si>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</si>
  <si>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</si>
  <si>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</si>
  <si>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</si>
  <si>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</si>
  <si>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</si>
  <si>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</si>
  <si>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</si>
  <si>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</si>
  <si>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</si>
  <si>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</si>
  <si>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</si>
  <si>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</si>
  <si>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</si>
  <si>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</si>
  <si>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</si>
  <si>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</si>
  <si>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</si>
  <si>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</si>
  <si>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</si>
  <si>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</si>
  <si>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</si>
  <si>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</si>
  <si>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</si>
  <si>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</si>
  <si>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</si>
  <si>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</si>
  <si>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</si>
  <si>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</si>
  <si>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</si>
  <si>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</si>
  <si>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</si>
  <si>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</si>
  <si>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</si>
  <si>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</si>
  <si>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</si>
  <si>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</si>
  <si>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</si>
  <si>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</si>
  <si>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</si>
  <si>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</si>
  <si>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</si>
  <si>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</si>
  <si>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</si>
  <si>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</si>
  <si>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</si>
  <si>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</si>
  <si>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</si>
  <si>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</si>
  <si>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</si>
  <si>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</si>
  <si>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</si>
  <si>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</si>
  <si>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</si>
  <si>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</si>
  <si>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</si>
  <si>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</si>
  <si>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</si>
  <si>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</si>
  <si>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</si>
  <si>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</si>
  <si>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</si>
  <si>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</si>
  <si>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</si>
  <si>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</si>
  <si>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</si>
  <si>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</si>
  <si>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</si>
  <si>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</si>
  <si>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</si>
  <si>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</si>
  <si>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</si>
  <si>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</si>
  <si>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</si>
  <si>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</si>
  <si>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</si>
  <si>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</si>
  <si>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</si>
  <si>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</si>
  <si>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</si>
  <si>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</si>
  <si>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</si>
  <si>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</si>
  <si>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</si>
  <si>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</si>
  <si>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</si>
  <si>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</si>
  <si>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</si>
  <si>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</si>
  <si>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</si>
  <si>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</si>
  <si>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</si>
  <si>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</si>
  <si>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</si>
  <si>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</si>
  <si>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</si>
  <si>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</si>
  <si>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</si>
  <si>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</si>
  <si>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</si>
  <si>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</si>
  <si>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</si>
  <si>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</si>
  <si>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</si>
  <si>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</si>
  <si>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</si>
  <si>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</si>
  <si>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</si>
  <si>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</si>
  <si>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</si>
  <si>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</si>
  <si>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</si>
  <si>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</si>
  <si>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</si>
  <si>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</si>
  <si>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</si>
  <si>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</si>
  <si>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</si>
  <si>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</si>
  <si>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</si>
  <si>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</si>
  <si>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</si>
  <si>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</si>
  <si>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</si>
  <si>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</si>
  <si>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</si>
  <si>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</si>
  <si>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</si>
  <si>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</si>
  <si>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</si>
  <si>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</si>
  <si>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</si>
  <si>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</si>
  <si>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</si>
  <si>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</si>
  <si>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</si>
  <si>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</si>
  <si>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</si>
  <si>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</si>
  <si>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</si>
  <si>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</si>
  <si>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</si>
  <si>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</si>
  <si>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</si>
  <si>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</si>
  <si>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</si>
  <si>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</si>
  <si>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</si>
  <si>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</si>
  <si>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</si>
  <si>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</si>
  <si>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</si>
  <si>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</si>
  <si>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</si>
  <si>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</si>
  <si>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</si>
  <si>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</si>
  <si>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</si>
  <si>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</si>
  <si>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</si>
  <si>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</si>
  <si>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</si>
  <si>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</si>
  <si>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</si>
  <si>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</si>
  <si>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</si>
  <si>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</si>
  <si>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</si>
  <si>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</si>
  <si>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</si>
  <si>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</si>
  <si>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</si>
  <si>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</si>
  <si>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</si>
  <si>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</si>
  <si>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</si>
  <si>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</si>
  <si>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</si>
  <si>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</si>
  <si>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</si>
  <si>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</si>
  <si>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</si>
  <si>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</si>
  <si>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</si>
  <si>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</si>
  <si>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</si>
  <si>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</si>
  <si>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</si>
  <si>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</si>
  <si>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</si>
  <si>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</si>
  <si>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</si>
  <si>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</si>
  <si>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</si>
  <si>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</si>
  <si>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</si>
  <si>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</si>
  <si>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</si>
  <si>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</si>
  <si>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</si>
  <si>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</si>
  <si>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</si>
  <si>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</si>
  <si>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</si>
  <si>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</si>
  <si>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</si>
  <si>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</si>
  <si>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</si>
  <si>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</si>
  <si>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</si>
  <si>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</si>
  <si>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</si>
  <si>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</si>
  <si>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</si>
  <si>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</si>
  <si>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</si>
  <si>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</si>
  <si>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</si>
  <si>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</si>
  <si>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</si>
  <si>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</si>
  <si>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</si>
  <si>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</si>
  <si>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</si>
  <si>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</si>
  <si>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</si>
  <si>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</si>
  <si>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</si>
  <si>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</si>
  <si>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</si>
  <si>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</si>
  <si>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</si>
  <si>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</si>
  <si>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</si>
  <si>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</si>
  <si>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</si>
  <si>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</si>
  <si>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</si>
  <si>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</si>
  <si>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</si>
  <si>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</si>
  <si>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</si>
  <si>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</si>
  <si>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</si>
  <si>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</si>
  <si>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</si>
  <si>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</si>
  <si>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</si>
  <si>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</si>
  <si>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</si>
  <si>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</si>
  <si>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</si>
  <si>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</si>
  <si>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</si>
  <si>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</si>
  <si>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</si>
  <si>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</si>
  <si>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</si>
  <si>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</si>
  <si>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</si>
  <si>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</si>
  <si>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</si>
  <si>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</si>
  <si>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</si>
  <si>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</si>
  <si>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</si>
  <si>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</si>
  <si>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</si>
  <si>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</si>
  <si>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</si>
  <si>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</si>
  <si>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</si>
  <si>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</si>
  <si>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</si>
  <si>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</si>
  <si>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</si>
  <si>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</si>
  <si>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</si>
  <si>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</si>
  <si>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</si>
  <si>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</si>
  <si>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</si>
  <si>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</si>
  <si>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</si>
  <si>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</si>
  <si>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</si>
  <si>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</si>
  <si>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</si>
  <si>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</si>
  <si>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</si>
  <si>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</si>
  <si>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</si>
  <si>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</si>
  <si>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</si>
  <si>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</si>
  <si>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</si>
  <si>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</si>
  <si>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</si>
  <si>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</si>
  <si>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</si>
  <si>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</si>
  <si>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</si>
  <si>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</si>
  <si>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</si>
  <si>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</si>
  <si>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</si>
  <si>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</si>
  <si>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</si>
  <si>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</si>
  <si>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</si>
  <si>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</si>
  <si>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</si>
  <si>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</si>
  <si>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</si>
  <si>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</si>
  <si>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</si>
  <si>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</si>
  <si>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</si>
  <si>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</si>
  <si>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</si>
  <si>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</si>
  <si>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</si>
  <si>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</si>
  <si>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</si>
  <si>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</si>
  <si>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</si>
  <si>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</si>
  <si>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</si>
  <si>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</si>
  <si>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</si>
  <si>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</si>
  <si>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</si>
  <si>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</si>
  <si>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</si>
  <si>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</si>
  <si>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</si>
  <si>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</si>
  <si>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</si>
  <si>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</si>
  <si>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</si>
  <si>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</si>
  <si>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</si>
  <si>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</si>
  <si>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</si>
  <si>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</si>
  <si>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</si>
  <si>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</si>
  <si>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</si>
  <si>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</si>
  <si>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</si>
  <si>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</si>
  <si>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</si>
  <si>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</si>
  <si>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</si>
  <si>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</si>
  <si>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</si>
  <si>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</si>
  <si>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</si>
  <si>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</si>
  <si>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</si>
  <si>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</si>
  <si>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</si>
  <si>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</si>
  <si>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</si>
  <si>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</si>
  <si>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</si>
  <si>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</si>
  <si>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</si>
  <si>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</si>
  <si>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</si>
  <si>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</si>
  <si>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</si>
  <si>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</si>
  <si>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</si>
  <si>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</si>
  <si>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</si>
  <si>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</si>
  <si>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</si>
  <si>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</si>
  <si>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</si>
  <si>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</si>
  <si>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</si>
  <si>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</si>
  <si>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</si>
  <si>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</si>
  <si>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</si>
  <si>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</si>
  <si>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</si>
  <si>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</si>
  <si>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</si>
  <si>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</si>
  <si>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</si>
  <si>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</si>
  <si>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</si>
  <si>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</si>
  <si>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</si>
  <si>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</si>
  <si>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</si>
  <si>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</si>
  <si>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</si>
  <si>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</si>
  <si>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</si>
  <si>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</si>
  <si>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</si>
  <si>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</si>
  <si>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</si>
  <si>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</si>
  <si>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</si>
  <si>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</si>
  <si>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</si>
  <si>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</si>
  <si>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</si>
  <si>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</si>
  <si>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</si>
  <si>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</si>
  <si>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</si>
  <si>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</si>
  <si>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</si>
  <si>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</si>
  <si>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</si>
  <si>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</si>
  <si>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</si>
  <si>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</si>
  <si>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</si>
  <si>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</si>
  <si>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</si>
  <si>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</si>
  <si>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</si>
  <si>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</si>
  <si>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</si>
  <si>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</si>
  <si>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</si>
  <si>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</si>
  <si>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</si>
  <si>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</si>
  <si>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</si>
  <si>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</si>
  <si>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</si>
  <si>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</si>
  <si>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</si>
  <si>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</si>
  <si>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</si>
  <si>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</si>
  <si>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</si>
  <si>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</si>
  <si>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</si>
  <si>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</si>
  <si>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</si>
  <si>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</si>
  <si>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</si>
  <si>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</si>
  <si>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</si>
  <si>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</si>
  <si>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</si>
  <si>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</si>
  <si>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</si>
  <si>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</si>
  <si>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</si>
  <si>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</si>
  <si>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</si>
  <si>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</si>
  <si>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</si>
  <si>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</si>
  <si>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</si>
  <si>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</si>
  <si>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</si>
  <si>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</si>
  <si>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</si>
  <si>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</si>
  <si>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</si>
  <si>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</si>
  <si>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</si>
  <si>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</si>
  <si>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</si>
  <si>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</si>
  <si>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</si>
  <si>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</si>
  <si>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</si>
  <si>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</si>
  <si>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</si>
  <si>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</si>
  <si>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</si>
  <si>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</si>
  <si>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</si>
  <si>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</si>
  <si>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</si>
  <si>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</si>
  <si>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</si>
  <si>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</si>
  <si>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</si>
  <si>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</si>
  <si>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</si>
  <si>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</si>
  <si>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</si>
  <si>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</si>
  <si>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</si>
  <si>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</si>
  <si>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</si>
  <si>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</si>
  <si>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</si>
  <si>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</si>
  <si>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</si>
  <si>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</si>
  <si>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</si>
  <si>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</si>
  <si>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</si>
  <si>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</si>
  <si>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</si>
  <si>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</si>
  <si>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</si>
  <si>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</si>
  <si>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</si>
  <si>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</si>
  <si>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</si>
  <si>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</si>
  <si>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</si>
  <si>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</si>
  <si>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</si>
  <si>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</si>
  <si>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</si>
  <si>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</si>
  <si>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</si>
  <si>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</si>
  <si>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</si>
  <si>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</si>
  <si>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</si>
  <si>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</si>
  <si>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</si>
  <si>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</si>
  <si>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</si>
  <si>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</si>
  <si>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</si>
  <si>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</si>
  <si>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</si>
  <si>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</si>
  <si>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</si>
  <si>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</si>
  <si>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</si>
  <si>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</si>
  <si>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</si>
  <si>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</si>
  <si>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</si>
  <si>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</si>
  <si>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</si>
  <si>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</si>
  <si>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</si>
  <si>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</si>
  <si>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</si>
  <si>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</si>
  <si>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</si>
  <si>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</si>
  <si>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</si>
  <si>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</si>
  <si>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</si>
  <si>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</si>
  <si>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</si>
  <si>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</si>
  <si>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</si>
  <si>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</si>
  <si>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</si>
  <si>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</si>
  <si>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</si>
  <si>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</si>
  <si>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</si>
  <si>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</si>
  <si>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</si>
  <si>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</si>
  <si>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</si>
  <si>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</si>
  <si>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</si>
  <si>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</si>
  <si>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</si>
  <si>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</si>
  <si>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</si>
  <si>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</si>
  <si>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</si>
  <si>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</si>
  <si>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</si>
  <si>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</si>
  <si>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</si>
  <si>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</si>
  <si>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</si>
  <si>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</si>
  <si>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</si>
  <si>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</si>
  <si>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</si>
  <si>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</si>
  <si>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</si>
  <si>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</si>
  <si>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</si>
  <si>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</si>
  <si>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</si>
  <si>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</si>
  <si>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</si>
  <si>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</si>
  <si>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</si>
  <si>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</si>
  <si>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</si>
  <si>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</si>
  <si>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</si>
  <si>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</si>
  <si>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</si>
  <si>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</si>
  <si>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</si>
  <si>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</si>
  <si>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</si>
  <si>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</si>
  <si>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</si>
  <si>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</si>
  <si>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</si>
  <si>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</si>
  <si>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</si>
  <si>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</si>
  <si>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</si>
  <si>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</si>
  <si>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</si>
  <si>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</si>
  <si>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</si>
  <si>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</si>
  <si>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</si>
  <si>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</si>
  <si>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</si>
  <si>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</si>
  <si>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</si>
  <si>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</si>
  <si>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</si>
  <si>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</si>
  <si>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</si>
  <si>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</si>
  <si>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</si>
  <si>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</si>
  <si>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</si>
  <si>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</si>
  <si>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</si>
  <si>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</si>
  <si>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</si>
  <si>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</si>
  <si>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</si>
  <si>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</si>
  <si>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</si>
  <si>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</si>
  <si>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</si>
  <si>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</si>
  <si>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</si>
  <si>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</si>
  <si>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</si>
  <si>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</si>
  <si>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</si>
  <si>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</si>
  <si>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</si>
  <si>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</si>
  <si>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</si>
  <si>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</si>
  <si>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</si>
  <si>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</si>
  <si>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</si>
  <si>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</si>
  <si>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</si>
  <si>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</si>
  <si>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</si>
  <si>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</si>
  <si>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</si>
  <si>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</si>
  <si>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</si>
  <si>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</si>
  <si>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</si>
  <si>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</si>
  <si>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</si>
  <si>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</si>
  <si>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</si>
  <si>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</si>
  <si>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</si>
  <si>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</si>
  <si>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</si>
  <si>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</si>
  <si>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</si>
  <si>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</si>
  <si>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</si>
  <si>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</si>
  <si>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</si>
  <si>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</si>
  <si>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</si>
  <si>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</si>
  <si>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</si>
  <si>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</si>
  <si>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</si>
  <si>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</si>
  <si>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</si>
  <si>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</si>
  <si>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</si>
  <si>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</si>
  <si>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</si>
  <si>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</si>
  <si>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</si>
  <si>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</si>
  <si>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</si>
  <si>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</si>
  <si>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</si>
  <si>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</si>
  <si>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</si>
  <si>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</si>
  <si>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</si>
  <si>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</si>
  <si>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</si>
  <si>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</si>
  <si>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</si>
  <si>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</si>
  <si>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</si>
  <si>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</si>
  <si>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</si>
  <si>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</si>
  <si>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</si>
  <si>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</si>
  <si>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</si>
  <si>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</si>
  <si>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</si>
  <si>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</si>
  <si>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</si>
  <si>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</si>
  <si>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</si>
  <si>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</si>
  <si>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</si>
  <si>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</si>
  <si>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</si>
  <si>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</si>
  <si>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</si>
  <si>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</si>
  <si>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</si>
  <si>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</si>
  <si>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</si>
  <si>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</si>
  <si>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</si>
  <si>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</si>
  <si>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</si>
  <si>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</si>
  <si>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</si>
  <si>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</si>
  <si>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</si>
  <si>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</si>
  <si>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</si>
  <si>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</si>
  <si>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</si>
  <si>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</si>
  <si>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</si>
  <si>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</si>
  <si>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</si>
  <si>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</si>
  <si>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</si>
  <si>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</si>
  <si>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</si>
  <si>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</si>
  <si>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</si>
  <si>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</si>
  <si>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</si>
  <si>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</si>
  <si>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</si>
  <si>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</si>
  <si>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</si>
  <si>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</si>
  <si>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</si>
  <si>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</si>
  <si>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</si>
  <si>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</si>
  <si>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</si>
  <si>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</si>
  <si>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</si>
  <si>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</si>
  <si>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</si>
  <si>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</si>
  <si>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</si>
  <si>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</si>
  <si>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</si>
  <si>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</si>
  <si>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</si>
  <si>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</si>
  <si>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</si>
  <si>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</si>
  <si>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</si>
  <si>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</si>
  <si>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</si>
  <si>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</si>
  <si>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</si>
  <si>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</si>
  <si>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</si>
  <si>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</si>
  <si>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</si>
  <si>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</si>
  <si>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</si>
  <si>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</si>
  <si>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</si>
  <si>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</si>
  <si>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</si>
  <si>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</si>
  <si>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</si>
  <si>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</si>
  <si>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</si>
  <si>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</si>
  <si>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</si>
  <si>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</si>
  <si>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</si>
  <si>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</si>
  <si>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</si>
  <si>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</si>
  <si>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</si>
  <si>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</si>
  <si>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</si>
  <si>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</si>
  <si>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</si>
  <si>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</si>
  <si>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</si>
  <si>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</si>
  <si>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</si>
  <si>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</si>
  <si>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</si>
  <si>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</si>
  <si>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</si>
  <si>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</si>
  <si>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</si>
  <si>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</si>
  <si>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</si>
  <si>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</si>
  <si>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</si>
  <si>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</si>
  <si>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</si>
  <si>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</si>
  <si>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</si>
  <si>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</si>
  <si>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</si>
  <si>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</si>
  <si>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</si>
  <si>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</si>
  <si>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</si>
  <si>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</si>
  <si>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</si>
  <si>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</si>
  <si>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</si>
  <si>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</si>
  <si>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</si>
  <si>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</si>
  <si>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</si>
  <si>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</si>
  <si>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</si>
  <si>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</si>
  <si>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</si>
  <si>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</si>
  <si>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</si>
  <si>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</si>
  <si>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</si>
  <si>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</si>
  <si>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</si>
  <si>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</si>
  <si>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</si>
  <si>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</si>
  <si>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</si>
  <si>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</si>
  <si>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</si>
  <si>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</si>
  <si>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</si>
  <si>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</si>
  <si>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</si>
  <si>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</si>
  <si>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</si>
  <si>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</si>
  <si>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</si>
  <si>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</si>
  <si>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</si>
  <si>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</si>
  <si>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</si>
  <si>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</si>
  <si>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</si>
  <si>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</si>
  <si>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</si>
  <si>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</si>
  <si>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</si>
  <si>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</si>
  <si>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</si>
  <si>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</si>
  <si>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</si>
  <si>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</si>
  <si>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</si>
  <si>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</si>
  <si>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</si>
  <si>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</si>
  <si>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</si>
  <si>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</si>
  <si>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</si>
  <si>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</si>
  <si>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</si>
  <si>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</si>
  <si>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</si>
  <si>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</si>
  <si>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</si>
  <si>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</si>
  <si>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</si>
  <si>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</si>
  <si>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</si>
  <si>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</si>
  <si>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</si>
  <si>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</si>
  <si>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</si>
  <si>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</si>
  <si>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</si>
  <si>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</si>
  <si>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</si>
  <si>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</si>
  <si>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</si>
  <si>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</si>
  <si>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</si>
  <si>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</si>
  <si>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</si>
  <si>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</si>
  <si>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</si>
  <si>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</si>
  <si>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</si>
  <si>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</si>
  <si>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</si>
  <si>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</si>
  <si>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</si>
  <si>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</si>
  <si>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</si>
  <si>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</si>
  <si>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</si>
  <si>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</si>
  <si>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</si>
  <si>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</si>
  <si>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</si>
  <si>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</si>
  <si>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</si>
  <si>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</si>
  <si>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</si>
  <si>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</si>
  <si>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</si>
  <si>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</si>
  <si>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</si>
  <si>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</si>
  <si>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</si>
  <si>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</si>
  <si>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</si>
  <si>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</si>
  <si>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</si>
  <si>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</si>
  <si>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</si>
  <si>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</si>
  <si>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</si>
  <si>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</si>
  <si>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</si>
  <si>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</si>
  <si>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</si>
  <si>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</si>
  <si>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</si>
  <si>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</si>
  <si>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</si>
  <si>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</si>
  <si>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</si>
  <si>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</si>
  <si>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</si>
  <si>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</si>
  <si>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</si>
  <si>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</si>
  <si>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</si>
  <si>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</si>
  <si>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</si>
  <si>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</si>
  <si>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</si>
  <si>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</si>
  <si>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</si>
  <si>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</si>
  <si>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</si>
  <si>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</si>
  <si>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</si>
  <si>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</si>
  <si>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</si>
  <si>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</si>
  <si>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</si>
  <si>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</si>
  <si>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</si>
  <si>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</si>
  <si>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</si>
  <si>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</si>
  <si>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</si>
  <si>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</si>
  <si>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</si>
  <si>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</si>
  <si>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</si>
  <si>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</si>
  <si>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</si>
  <si>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</si>
  <si>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</si>
  <si>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</si>
  <si>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</si>
  <si>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</si>
  <si>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</si>
  <si>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</si>
  <si>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</si>
  <si>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</si>
  <si>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</si>
  <si>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</si>
  <si>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</si>
  <si>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</si>
  <si>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</si>
  <si>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</si>
  <si>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</si>
  <si>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</si>
  <si>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</si>
  <si>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</si>
  <si>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</si>
  <si>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</si>
  <si>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</si>
  <si>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</si>
  <si>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</si>
  <si>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</si>
  <si>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</si>
  <si>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</si>
  <si>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</si>
  <si>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</si>
  <si>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</si>
  <si>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</si>
  <si>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</si>
  <si>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</si>
  <si>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</si>
  <si>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</si>
  <si>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</si>
  <si>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</si>
  <si>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</si>
  <si>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</si>
  <si>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</si>
  <si>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</si>
  <si>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</si>
  <si>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</si>
  <si>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</si>
  <si>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</si>
  <si>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</si>
  <si>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</si>
  <si>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</si>
  <si>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</si>
  <si>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</si>
  <si>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</si>
  <si>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</si>
  <si>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</si>
  <si>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</si>
  <si>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</si>
  <si>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</si>
  <si>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</si>
  <si>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</si>
  <si>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</si>
  <si>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</si>
  <si>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</si>
  <si>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</si>
  <si>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</si>
  <si>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</si>
  <si>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</si>
  <si>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</si>
  <si>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</si>
  <si>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</si>
  <si>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</si>
  <si>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</si>
  <si>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</si>
  <si>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</si>
  <si>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</si>
  <si>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</si>
  <si>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</si>
  <si>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</si>
  <si>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</si>
  <si>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</si>
  <si>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</si>
  <si>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</si>
  <si>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</si>
  <si>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</si>
  <si>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</si>
  <si>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</si>
  <si>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</si>
  <si>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</si>
  <si>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</si>
  <si>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</si>
  <si>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</si>
  <si>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</si>
  <si>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</si>
  <si>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</si>
  <si>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</si>
  <si>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</si>
  <si>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</si>
  <si>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</si>
  <si>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</si>
  <si>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</si>
  <si>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</si>
  <si>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</si>
  <si>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</si>
  <si>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</si>
  <si>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</si>
  <si>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</si>
  <si>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</si>
  <si>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</si>
  <si>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</si>
  <si>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</si>
  <si>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</si>
  <si>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</si>
  <si>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</si>
  <si>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</si>
  <si>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</si>
  <si>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</si>
  <si>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</si>
  <si>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</si>
  <si>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</si>
  <si>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</si>
  <si>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</si>
  <si>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</si>
  <si>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</si>
  <si>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</si>
  <si>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</si>
  <si>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</si>
  <si>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</si>
  <si>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</si>
  <si>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</si>
  <si>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</si>
  <si>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</si>
  <si>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</si>
  <si>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</si>
  <si>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</si>
  <si>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</si>
  <si>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</si>
  <si>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</si>
  <si>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</si>
  <si>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</si>
  <si>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</si>
  <si>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</si>
  <si>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</si>
  <si>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</si>
  <si>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</si>
  <si>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</si>
  <si>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</si>
  <si>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</si>
  <si>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</si>
  <si>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</si>
  <si>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</si>
  <si>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</si>
  <si>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</si>
  <si>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</si>
  <si>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</si>
  <si>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</si>
  <si>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</si>
  <si>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</si>
  <si>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</si>
  <si>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</si>
  <si>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</si>
  <si>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</si>
  <si>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</si>
  <si>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</si>
  <si>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</si>
  <si>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</si>
  <si>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</si>
  <si>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</si>
  <si>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</si>
  <si>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</si>
  <si>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</si>
  <si>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</si>
  <si>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</si>
  <si>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</si>
  <si>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</si>
  <si>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</si>
  <si>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</si>
  <si>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</si>
  <si>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</si>
  <si>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</si>
  <si>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</si>
  <si>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</si>
  <si>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</si>
  <si>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</si>
  <si>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</si>
  <si>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</si>
  <si>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</si>
  <si>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</si>
  <si>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</si>
  <si>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</si>
  <si>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</si>
  <si>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</si>
  <si>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</si>
  <si>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</si>
  <si>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</si>
  <si>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</si>
  <si>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</si>
  <si>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</si>
  <si>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</si>
  <si>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</si>
  <si>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</si>
  <si>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</si>
  <si>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</si>
  <si>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</si>
  <si>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</si>
  <si>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</si>
  <si>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</si>
  <si>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</si>
  <si>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</si>
  <si>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</si>
  <si>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</si>
  <si>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</si>
  <si>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</si>
  <si>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</si>
  <si>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</si>
  <si>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</si>
  <si>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</si>
  <si>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</si>
  <si>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</si>
  <si>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</si>
  <si>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</si>
  <si>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</si>
  <si>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</si>
  <si>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</si>
  <si>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</si>
  <si>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</si>
  <si>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</si>
  <si>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</si>
  <si>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</si>
  <si>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</si>
  <si>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</si>
  <si>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</si>
  <si>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</si>
  <si>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</si>
  <si>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</si>
  <si>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</si>
  <si>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</si>
  <si>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</si>
  <si>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</si>
  <si>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</si>
  <si>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</si>
  <si>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</si>
  <si>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</si>
  <si>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</si>
  <si>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</si>
  <si>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</si>
  <si>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</si>
  <si>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</si>
  <si>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</si>
  <si>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</si>
  <si>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</si>
  <si>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</si>
  <si>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</si>
  <si>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</si>
  <si>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</si>
  <si>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</si>
  <si>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</si>
  <si>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</si>
  <si>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</si>
  <si>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</si>
  <si>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</si>
  <si>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</si>
  <si>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</si>
  <si>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</si>
  <si>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</si>
  <si>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</si>
  <si>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</si>
  <si>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</si>
  <si>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</si>
  <si>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</si>
  <si>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</si>
  <si>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</si>
  <si>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</si>
  <si>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</si>
  <si>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</si>
  <si>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</si>
  <si>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</si>
  <si>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</si>
  <si>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</si>
  <si>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</si>
  <si>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</si>
  <si>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</si>
  <si>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</si>
  <si>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</si>
  <si>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</si>
  <si>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</si>
  <si>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</si>
  <si>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</si>
  <si>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</si>
  <si>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</si>
  <si>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</si>
  <si>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</si>
  <si>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</si>
  <si>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</si>
  <si>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</si>
  <si>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</si>
  <si>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</si>
  <si>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</si>
  <si>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</si>
  <si>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</si>
  <si>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</si>
  <si>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</si>
  <si>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</si>
  <si>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</si>
  <si>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</si>
  <si>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</si>
  <si>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</si>
  <si>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</si>
  <si>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</si>
  <si>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</si>
  <si>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</si>
  <si>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</si>
  <si>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</si>
  <si>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</si>
  <si>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</si>
  <si>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</si>
  <si>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</si>
  <si>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</si>
  <si>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</si>
  <si>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</si>
  <si>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</si>
  <si>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</si>
  <si>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</si>
  <si>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</si>
  <si>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</si>
  <si>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</si>
  <si>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</si>
  <si>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</si>
  <si>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</si>
  <si>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</si>
  <si>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</si>
  <si>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</si>
  <si>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</si>
  <si>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</si>
  <si>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</si>
  <si>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</si>
  <si>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</si>
  <si>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</si>
  <si>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</si>
  <si>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</si>
  <si>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</si>
  <si>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</si>
  <si>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</si>
  <si>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</si>
  <si>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</si>
  <si>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</si>
  <si>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</si>
  <si>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</si>
  <si>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</si>
  <si>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</si>
  <si>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</si>
  <si>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</si>
  <si>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</si>
  <si>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</si>
  <si>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</si>
  <si>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</si>
  <si>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</si>
  <si>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</si>
  <si>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</si>
  <si>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</si>
  <si>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</si>
  <si>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</si>
  <si>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</si>
  <si>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</si>
  <si>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</si>
  <si>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</si>
  <si>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</si>
  <si>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</si>
  <si>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</si>
  <si>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</si>
  <si>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</si>
  <si>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</si>
  <si>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</si>
  <si>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</si>
  <si>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</si>
  <si>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</si>
  <si>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</si>
  <si>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</si>
  <si>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</si>
  <si>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</si>
  <si>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</si>
  <si>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</si>
  <si>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</si>
  <si>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</si>
  <si>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</si>
  <si>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</si>
  <si>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</si>
  <si>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</si>
  <si>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</si>
  <si>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</si>
  <si>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</si>
  <si>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</si>
  <si>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</si>
  <si>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</si>
  <si>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</si>
  <si>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</si>
  <si>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</si>
  <si>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</si>
  <si>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</si>
  <si>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</si>
  <si>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</si>
  <si>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</si>
  <si>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</si>
  <si>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</si>
  <si>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</si>
  <si>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</si>
  <si>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</si>
  <si>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</si>
  <si>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</si>
  <si>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</si>
  <si>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</si>
  <si>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</si>
  <si>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</si>
  <si>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</si>
  <si>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</si>
  <si>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</si>
  <si>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</si>
  <si>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</si>
  <si>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</si>
  <si>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</si>
  <si>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</si>
  <si>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</si>
  <si>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</si>
  <si>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</si>
  <si>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</si>
  <si>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</si>
  <si>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</si>
  <si>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</si>
  <si>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</si>
  <si>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</si>
  <si>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</si>
  <si>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</si>
  <si>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</si>
  <si>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</si>
  <si>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</si>
  <si>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</si>
  <si>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</si>
  <si>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</si>
  <si>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</si>
  <si>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</si>
  <si>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</si>
  <si>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</si>
  <si>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</si>
  <si>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</si>
  <si>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</si>
  <si>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</si>
  <si>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</si>
  <si>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</si>
  <si>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</si>
  <si>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</si>
  <si>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</si>
  <si>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</si>
  <si>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</si>
  <si>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</si>
  <si>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</si>
  <si>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</si>
  <si>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</si>
  <si>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</si>
  <si>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</si>
  <si>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</si>
  <si>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</si>
  <si>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</si>
  <si>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</si>
  <si>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</si>
  <si>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</si>
  <si>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</si>
  <si>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</si>
  <si>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</si>
  <si>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</si>
  <si>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</si>
  <si>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</si>
  <si>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</si>
  <si>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</si>
  <si>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</si>
  <si>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</si>
  <si>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</si>
  <si>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</si>
  <si>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</si>
  <si>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</si>
  <si>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</si>
  <si>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</si>
  <si>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</si>
  <si>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</si>
  <si>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</si>
  <si>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</si>
  <si>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</si>
  <si>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</si>
  <si>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</si>
  <si>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</si>
  <si>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</si>
  <si>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</si>
  <si>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</si>
  <si>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</si>
  <si>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</si>
  <si>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</si>
  <si>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</si>
  <si>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</si>
  <si>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</si>
  <si>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</si>
  <si>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</si>
  <si>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</si>
  <si>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</si>
  <si>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</si>
  <si>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</si>
  <si>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</si>
  <si>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</si>
  <si>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</si>
  <si>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</si>
  <si>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</si>
  <si>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</si>
  <si>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</si>
  <si>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</si>
  <si>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</si>
  <si>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</si>
  <si>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</si>
  <si>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</si>
  <si>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</si>
  <si>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</si>
  <si>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</si>
  <si>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</si>
  <si>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</si>
  <si>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</si>
  <si>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</si>
  <si>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</si>
  <si>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</si>
  <si>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</si>
  <si>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</si>
  <si>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</si>
  <si>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</si>
  <si>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</si>
  <si>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</si>
  <si>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</si>
  <si>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</si>
  <si>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</si>
  <si>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</si>
  <si>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</si>
  <si>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</si>
  <si>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</si>
  <si>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</si>
  <si>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</si>
  <si>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</si>
  <si>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</si>
  <si>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</si>
  <si>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</si>
  <si>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</si>
  <si>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</si>
  <si>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</si>
  <si>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</si>
  <si>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</si>
  <si>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</si>
  <si>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</si>
  <si>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</si>
  <si>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</si>
  <si>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</si>
  <si>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</si>
  <si>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</si>
  <si>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</si>
  <si>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</si>
  <si>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</si>
  <si>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</si>
  <si>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</si>
  <si>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</si>
  <si>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</si>
  <si>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</si>
  <si>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</si>
  <si>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</si>
  <si>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</si>
  <si>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</si>
  <si>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</si>
  <si>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</si>
  <si>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</si>
  <si>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</si>
  <si>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</si>
  <si>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</si>
  <si>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</si>
  <si>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</si>
  <si>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</si>
  <si>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</si>
  <si>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</si>
  <si>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</si>
  <si>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</si>
  <si>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</si>
  <si>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</si>
  <si>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</si>
  <si>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</si>
  <si>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</si>
  <si>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</si>
  <si>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</si>
  <si>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</si>
  <si>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</si>
  <si>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</si>
  <si>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</si>
  <si>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</si>
  <si>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</si>
  <si>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</si>
  <si>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</si>
  <si>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</si>
  <si>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</si>
  <si>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</si>
  <si>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</si>
  <si>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</si>
  <si>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</si>
  <si>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</si>
  <si>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</si>
  <si>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</si>
  <si>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</si>
  <si>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</si>
  <si>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</si>
  <si>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</si>
  <si>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</si>
  <si>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</si>
  <si>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</si>
  <si>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</si>
  <si>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</si>
  <si>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</si>
  <si>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</si>
  <si>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</si>
  <si>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</si>
  <si>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</si>
  <si>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</si>
  <si>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</si>
  <si>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</si>
  <si>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</si>
  <si>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</si>
  <si>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</si>
  <si>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</si>
  <si>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</si>
  <si>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</si>
  <si>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</si>
  <si>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</si>
  <si>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</si>
  <si>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</si>
  <si>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</si>
  <si>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</si>
  <si>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</si>
  <si>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</si>
  <si>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</si>
  <si>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</si>
  <si>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</si>
  <si>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</si>
  <si>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</si>
  <si>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</si>
  <si>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</si>
  <si>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</si>
  <si>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</si>
  <si>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</si>
  <si>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</si>
  <si>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</si>
  <si>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</si>
  <si>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</si>
  <si>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</si>
  <si>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</si>
  <si>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</si>
  <si>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</si>
  <si>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</si>
  <si>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</si>
  <si>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</si>
  <si>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</si>
  <si>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</si>
  <si>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</si>
  <si>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</si>
  <si>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</si>
  <si>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</si>
  <si>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</si>
  <si>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</si>
  <si>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</si>
  <si>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</si>
  <si>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</si>
  <si>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</si>
  <si>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</si>
  <si>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</si>
  <si>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</si>
  <si>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</si>
  <si>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</si>
  <si>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</si>
  <si>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</si>
  <si>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</si>
  <si>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</si>
  <si>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</si>
  <si>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</si>
  <si>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</si>
  <si>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</si>
  <si>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</si>
  <si>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</si>
  <si>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</si>
  <si>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</si>
  <si>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</si>
  <si>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</si>
  <si>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</si>
  <si>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</si>
  <si>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</si>
  <si>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</si>
  <si>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</si>
  <si>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</si>
  <si>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</si>
  <si>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</si>
  <si>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</si>
  <si>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</si>
  <si>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</si>
  <si>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</si>
  <si>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</si>
  <si>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</si>
  <si>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</si>
  <si>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</si>
  <si>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</si>
  <si>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</si>
  <si>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</si>
  <si>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</si>
  <si>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</si>
  <si>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</si>
  <si>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</si>
  <si>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</si>
  <si>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</si>
  <si>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</si>
  <si>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</si>
  <si>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</si>
  <si>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</si>
  <si>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</si>
  <si>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</si>
  <si>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</si>
  <si>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</si>
  <si>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</si>
  <si>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</si>
  <si>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</si>
  <si>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</si>
  <si>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</si>
  <si>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</si>
  <si>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</si>
  <si>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</si>
  <si>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</si>
  <si>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</si>
  <si>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</si>
  <si>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</si>
  <si>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</si>
  <si>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</si>
  <si>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</si>
  <si>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</si>
  <si>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</si>
  <si>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</si>
  <si>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</si>
  <si>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</si>
  <si>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</si>
  <si>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</si>
  <si>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</si>
  <si>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</si>
  <si>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</si>
  <si>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</si>
  <si>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</si>
  <si>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</si>
  <si>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</si>
  <si>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</si>
  <si>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</si>
  <si>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</si>
  <si>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</si>
  <si>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</si>
  <si>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</si>
  <si>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</si>
  <si>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</si>
  <si>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</si>
  <si>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</si>
  <si>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</si>
  <si>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</si>
  <si>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</si>
  <si>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</si>
  <si>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</si>
  <si>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</si>
  <si>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</si>
  <si>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</si>
  <si>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</si>
  <si>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</si>
  <si>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</si>
  <si>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</si>
  <si>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</si>
  <si>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</si>
  <si>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</si>
  <si>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</si>
  <si>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</si>
  <si>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</si>
  <si>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</si>
  <si>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</si>
  <si>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</si>
  <si>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</si>
  <si>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</si>
  <si>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</si>
  <si>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</si>
  <si>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</si>
  <si>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</si>
  <si>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</si>
  <si>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</si>
  <si>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</si>
  <si>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</si>
  <si>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</si>
  <si>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</si>
  <si>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</si>
  <si>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</si>
  <si>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</si>
  <si>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</si>
  <si>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</si>
  <si>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</si>
  <si>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</si>
  <si>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</si>
  <si>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</si>
  <si>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</si>
  <si>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</si>
  <si>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</si>
  <si>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</si>
  <si>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</si>
  <si>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</si>
  <si>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</si>
  <si>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</si>
  <si>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</si>
  <si>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</si>
  <si>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</si>
  <si>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</si>
  <si>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</si>
  <si>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</si>
  <si>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</si>
  <si>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</si>
  <si>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</si>
  <si>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</si>
  <si>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</si>
  <si>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</si>
  <si>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</si>
  <si>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</si>
  <si>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</si>
  <si>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</si>
  <si>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</si>
  <si>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</si>
  <si>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</si>
  <si>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</si>
  <si>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</si>
  <si>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</si>
  <si>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</si>
  <si>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</si>
  <si>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</si>
  <si>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</si>
  <si>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</si>
  <si>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</si>
  <si>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</si>
  <si>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</si>
  <si>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</si>
  <si>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</si>
  <si>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</si>
  <si>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</si>
  <si>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</si>
  <si>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</si>
  <si>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</si>
  <si>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</si>
  <si>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</si>
  <si>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</si>
  <si>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</si>
  <si>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</si>
  <si>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</si>
  <si>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</si>
  <si>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</si>
  <si>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</si>
  <si>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</si>
  <si>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</si>
  <si>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</si>
  <si>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</si>
  <si>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</si>
  <si>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</si>
  <si>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</si>
  <si>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</si>
  <si>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</si>
  <si>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</si>
  <si>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</si>
  <si>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</si>
  <si>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</si>
  <si>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</si>
  <si>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</si>
  <si>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</si>
  <si>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</si>
  <si>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</si>
  <si>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</si>
  <si>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</si>
  <si>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</si>
  <si>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</si>
  <si>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</si>
  <si>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</si>
  <si>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</si>
  <si>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</si>
  <si>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</si>
  <si>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</si>
  <si>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</si>
  <si>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</si>
  <si>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</si>
  <si>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</si>
  <si>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</si>
  <si>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</si>
  <si>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</si>
  <si>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</si>
  <si>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</si>
  <si>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</si>
  <si>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</si>
  <si>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</si>
  <si>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</si>
  <si>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</si>
  <si>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</si>
  <si>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</si>
  <si>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</si>
  <si>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</si>
  <si>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</si>
  <si>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</si>
  <si>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</si>
  <si>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</si>
  <si>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</si>
  <si>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</si>
  <si>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</si>
  <si>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</si>
  <si>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</si>
  <si>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</si>
  <si>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</si>
  <si>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</si>
  <si>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</si>
  <si>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</si>
  <si>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</si>
  <si>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</si>
  <si>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</si>
  <si>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</si>
  <si>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</si>
  <si>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</si>
  <si>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</si>
  <si>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</si>
  <si>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</si>
  <si>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</si>
  <si>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</si>
  <si>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</si>
  <si>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</si>
  <si>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</si>
  <si>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</si>
  <si>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</si>
  <si>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</si>
  <si>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</si>
  <si>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</si>
  <si>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</si>
  <si>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</si>
  <si>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</si>
  <si>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</si>
  <si>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</si>
  <si>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</si>
  <si>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</si>
  <si>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</si>
  <si>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</si>
  <si>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</si>
  <si>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</si>
  <si>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</si>
  <si>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</si>
  <si>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</si>
  <si>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</si>
  <si>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</si>
  <si>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</si>
  <si>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</si>
  <si>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</si>
  <si>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</si>
  <si>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</si>
  <si>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</si>
  <si>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</si>
  <si>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</si>
  <si>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</si>
  <si>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</si>
  <si>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</si>
  <si>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</si>
  <si>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</si>
  <si>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</si>
  <si>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</si>
  <si>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</si>
  <si>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</si>
  <si>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</si>
  <si>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</si>
  <si>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</si>
  <si>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</si>
  <si>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</si>
  <si>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</si>
  <si>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</si>
  <si>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</si>
  <si>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</si>
  <si>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</si>
  <si>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</si>
  <si>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</si>
  <si>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</si>
  <si>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</si>
  <si>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</si>
  <si>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</si>
  <si>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</si>
  <si>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</si>
  <si>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</si>
  <si>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</si>
  <si>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</si>
  <si>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</si>
  <si>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</si>
  <si>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</si>
  <si>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</si>
  <si>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</si>
  <si>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</si>
  <si>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</si>
  <si>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</si>
  <si>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</si>
  <si>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</si>
  <si>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</si>
  <si>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</si>
  <si>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</si>
  <si>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</si>
  <si>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</si>
  <si>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</si>
  <si>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</si>
  <si>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</si>
  <si>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</si>
  <si>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</si>
  <si>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</si>
  <si>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</si>
  <si>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</si>
  <si>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</si>
  <si>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</si>
  <si>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</si>
  <si>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</si>
  <si>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</si>
  <si>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</si>
  <si>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</si>
  <si>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</si>
  <si>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</si>
  <si>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</si>
  <si>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</si>
  <si>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</si>
  <si>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</si>
  <si>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</si>
  <si>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</si>
  <si>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</si>
  <si>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</si>
  <si>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</si>
  <si>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</si>
  <si>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</si>
  <si>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</si>
  <si>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</si>
  <si>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</si>
  <si>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</si>
  <si>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</si>
  <si>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</si>
  <si>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</si>
  <si>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</si>
  <si>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</si>
  <si>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</si>
  <si>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</si>
  <si>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</si>
  <si>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</si>
  <si>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</si>
  <si>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</si>
  <si>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</si>
  <si>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</si>
  <si>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</si>
  <si>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</si>
  <si>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</si>
  <si>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</si>
  <si>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</si>
  <si>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</si>
  <si>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</si>
  <si>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</si>
  <si>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</si>
  <si>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</si>
  <si>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</si>
  <si>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</si>
  <si>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</si>
  <si>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</si>
  <si>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</si>
  <si>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</si>
  <si>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</si>
  <si>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</si>
  <si>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</si>
  <si>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</si>
  <si>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</si>
  <si>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</si>
  <si>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</si>
  <si>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</si>
  <si>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</si>
  <si>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</si>
  <si>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</si>
  <si>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</si>
  <si>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</si>
  <si>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</si>
  <si>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</si>
  <si>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</si>
  <si>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</si>
  <si>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</si>
  <si>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</si>
  <si>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</si>
  <si>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</si>
  <si>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</si>
  <si>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</si>
  <si>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</si>
  <si>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</si>
  <si>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</si>
  <si>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</si>
  <si>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</si>
  <si>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</si>
  <si>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</si>
  <si>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</si>
  <si>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</si>
  <si>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</si>
  <si>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</si>
  <si>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</si>
  <si>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</si>
  <si>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</si>
  <si>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</si>
  <si>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</si>
  <si>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</si>
  <si>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</si>
  <si>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</si>
  <si>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</si>
  <si>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</si>
  <si>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</si>
  <si>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</si>
  <si>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</si>
  <si>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</si>
  <si>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</si>
  <si>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</si>
  <si>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</si>
  <si>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</si>
  <si>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</si>
  <si>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</si>
  <si>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</si>
  <si>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</si>
  <si>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</si>
  <si>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</si>
  <si>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</si>
  <si>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</si>
  <si>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</si>
  <si>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</si>
  <si>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</si>
  <si>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</si>
  <si>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</si>
  <si>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</si>
  <si>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</si>
  <si>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</si>
  <si>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</si>
  <si>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</si>
  <si>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</si>
  <si>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</si>
  <si>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</si>
  <si>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</si>
  <si>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</si>
  <si>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</si>
  <si>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</si>
  <si>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</si>
  <si>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</si>
  <si>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</si>
  <si>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</si>
  <si>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</si>
  <si>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</si>
  <si>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</si>
  <si>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</si>
  <si>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</si>
  <si>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</si>
  <si>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</si>
  <si>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</si>
  <si>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</si>
  <si>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</si>
  <si>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</si>
  <si>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</si>
  <si>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</si>
  <si>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</si>
  <si>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</si>
  <si>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</si>
  <si>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</si>
  <si>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</si>
  <si>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</si>
  <si>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</si>
  <si>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</si>
  <si>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</si>
  <si>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</si>
  <si>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</si>
  <si>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</si>
  <si>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</si>
  <si>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</si>
  <si>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</si>
  <si>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</si>
  <si>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</si>
  <si>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</si>
  <si>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</si>
  <si>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</si>
  <si>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</si>
  <si>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</si>
  <si>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</si>
  <si>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</si>
  <si>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</si>
  <si>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</si>
  <si>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</si>
  <si>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</si>
  <si>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</si>
  <si>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</si>
  <si>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</si>
  <si>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</si>
  <si>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</si>
  <si>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</si>
  <si>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</si>
  <si>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</si>
  <si>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</si>
  <si>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</si>
  <si>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</si>
  <si>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</si>
  <si>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</si>
  <si>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</si>
  <si>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</si>
  <si>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</si>
  <si>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</si>
  <si>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</si>
  <si>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</si>
  <si>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</si>
  <si>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</si>
  <si>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</si>
  <si>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</si>
  <si>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</si>
  <si>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</si>
  <si>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</si>
  <si>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</si>
  <si>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</si>
  <si>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</si>
  <si>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</si>
  <si>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</si>
  <si>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</si>
  <si>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</si>
  <si>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</si>
  <si>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</si>
  <si>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</si>
  <si>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</si>
  <si>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</si>
  <si>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</si>
  <si>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</si>
  <si>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</si>
  <si>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</si>
  <si>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</si>
  <si>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</si>
  <si>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</si>
  <si>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</si>
  <si>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</si>
  <si>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</si>
  <si>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</si>
  <si>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</si>
  <si>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</si>
  <si>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</si>
  <si>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</si>
  <si>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</si>
  <si>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</si>
  <si>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</si>
  <si>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</si>
  <si>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</si>
  <si>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</si>
  <si>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</si>
  <si>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</si>
  <si>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</si>
  <si>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</si>
  <si>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</si>
  <si>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</si>
  <si>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</si>
  <si>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</si>
  <si>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</si>
  <si>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</si>
  <si>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</si>
  <si>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</si>
  <si>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</si>
  <si>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</si>
  <si>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</si>
  <si>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</si>
  <si>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</si>
  <si>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</si>
  <si>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</si>
  <si>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</si>
  <si>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</si>
  <si>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</si>
  <si>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</si>
  <si>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</si>
  <si>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</si>
  <si>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</si>
  <si>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</si>
  <si>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</si>
  <si>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</si>
  <si>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</si>
  <si>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</si>
  <si>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</si>
  <si>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</si>
  <si>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</si>
  <si>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</si>
  <si>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</si>
  <si>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</si>
  <si>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</si>
  <si>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</si>
  <si>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</si>
  <si>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</si>
  <si>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</si>
  <si>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</si>
  <si>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</si>
  <si>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</si>
  <si>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</si>
  <si>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</si>
  <si>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</si>
  <si>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</si>
  <si>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</si>
  <si>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</si>
  <si>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</si>
  <si>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</si>
  <si>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</si>
  <si>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</si>
  <si>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</si>
  <si>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</si>
  <si>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</si>
  <si>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</si>
  <si>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</si>
  <si>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</si>
  <si>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</si>
  <si>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</si>
  <si>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</si>
  <si>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</si>
  <si>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</si>
  <si>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</si>
  <si>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</si>
  <si>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</si>
  <si>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</si>
  <si>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</si>
  <si>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</si>
  <si>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</si>
  <si>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</si>
  <si>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</si>
  <si>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</si>
  <si>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</si>
  <si>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</si>
  <si>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</si>
  <si>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</si>
  <si>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</si>
  <si>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</si>
  <si>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</si>
  <si>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</si>
  <si>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</si>
  <si>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</si>
  <si>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</si>
  <si>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</si>
  <si>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</si>
  <si>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</si>
  <si>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</si>
  <si>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</si>
  <si>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</si>
  <si>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</si>
  <si>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</si>
  <si>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</si>
  <si>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</si>
  <si>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</si>
  <si>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</si>
  <si>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</si>
  <si>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</si>
  <si>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</si>
  <si>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</si>
  <si>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</si>
  <si>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</si>
  <si>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</si>
  <si>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</si>
  <si>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</si>
  <si>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</si>
  <si>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</si>
  <si>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</si>
  <si>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</si>
  <si>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</si>
  <si>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</si>
  <si>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</si>
  <si>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</si>
  <si>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</si>
  <si>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</si>
  <si>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</si>
  <si>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</si>
  <si>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</si>
  <si>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</si>
  <si>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</si>
  <si>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</si>
  <si>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</si>
  <si>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</si>
  <si>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</si>
  <si>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</si>
  <si>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</si>
  <si>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</si>
  <si>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</si>
  <si>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</si>
  <si>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</si>
  <si>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</si>
  <si>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</si>
  <si>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</si>
  <si>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</si>
  <si>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</si>
  <si>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</si>
  <si>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</si>
  <si>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</si>
  <si>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</si>
  <si>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</si>
  <si>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</si>
  <si>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</si>
  <si>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</si>
  <si>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</si>
  <si>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</si>
  <si>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</si>
  <si>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</si>
  <si>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</si>
  <si>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</si>
  <si>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</si>
  <si>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</si>
  <si>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</si>
  <si>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</si>
  <si>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</si>
  <si>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</si>
  <si>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</si>
  <si>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</si>
  <si>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</si>
  <si>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</si>
  <si>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</si>
  <si>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</si>
  <si>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</si>
  <si>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</si>
  <si>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</si>
  <si>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</si>
  <si>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</si>
  <si>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</si>
  <si>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</si>
  <si>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</si>
  <si>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</si>
  <si>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</si>
  <si>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</si>
  <si>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</si>
  <si>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</si>
  <si>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</si>
  <si>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</si>
  <si>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</si>
  <si>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</si>
  <si>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</si>
  <si>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</si>
  <si>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</si>
  <si>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</si>
  <si>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</si>
  <si>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</si>
  <si>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</si>
  <si>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</si>
  <si>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</si>
  <si>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</si>
  <si>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</si>
  <si>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</si>
  <si>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</si>
  <si>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</si>
  <si>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</si>
  <si>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</si>
  <si>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</si>
  <si>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</si>
  <si>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</si>
  <si>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</si>
  <si>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</si>
  <si>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</si>
  <si>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</si>
  <si>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</si>
  <si>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</si>
  <si>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</si>
  <si>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</si>
  <si>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</si>
  <si>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</si>
  <si>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</si>
  <si>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</si>
  <si>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</si>
  <si>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</si>
  <si>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</si>
  <si>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</si>
  <si>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</si>
  <si>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</si>
  <si>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</si>
  <si>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</si>
  <si>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</si>
  <si>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</si>
  <si>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</si>
  <si>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</si>
  <si>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</si>
  <si>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</si>
  <si>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</si>
  <si>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</si>
  <si>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</si>
  <si>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</si>
  <si>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</si>
  <si>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</si>
  <si>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</si>
  <si>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</si>
  <si>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</si>
  <si>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</si>
  <si>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</si>
  <si>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</si>
  <si>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</si>
  <si>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</si>
  <si>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</si>
  <si>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</si>
  <si>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</si>
  <si>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</si>
  <si>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</si>
  <si>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</si>
  <si>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</si>
  <si>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</si>
  <si>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</si>
  <si>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</si>
  <si>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</si>
  <si>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</si>
  <si>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</si>
  <si>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</si>
  <si>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</si>
  <si>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</si>
  <si>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</si>
  <si>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</si>
  <si>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</si>
  <si>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</si>
  <si>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</si>
  <si>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</si>
  <si>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</si>
  <si>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</si>
  <si>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</si>
  <si>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</si>
  <si>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</si>
  <si>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</si>
  <si>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</si>
  <si>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</si>
  <si>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</si>
  <si>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</si>
  <si>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</si>
  <si>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</si>
  <si>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</si>
  <si>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</si>
  <si>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</si>
  <si>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</si>
  <si>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</si>
  <si>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</si>
  <si>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</si>
  <si>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</si>
  <si>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</si>
  <si>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</si>
  <si>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</si>
  <si>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</si>
  <si>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</si>
  <si>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</si>
  <si>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</si>
  <si>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</si>
  <si>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</si>
  <si>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</si>
  <si>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</si>
  <si>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</si>
  <si>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</si>
  <si>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</si>
  <si>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</si>
  <si>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</si>
  <si>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</si>
  <si>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</si>
  <si>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</si>
  <si>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</si>
  <si>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</si>
  <si>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</si>
  <si>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</si>
  <si>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</si>
  <si>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</si>
  <si>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</si>
  <si>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</si>
  <si>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</si>
  <si>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</si>
  <si>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</si>
  <si>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</si>
  <si>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</si>
  <si>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</si>
  <si>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</si>
  <si>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</si>
  <si>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</si>
  <si>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</si>
  <si>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</si>
  <si>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</si>
  <si>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</si>
  <si>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</si>
  <si>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</si>
  <si>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</si>
  <si>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</si>
  <si>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</si>
  <si>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</si>
  <si>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</si>
  <si>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</si>
  <si>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</si>
  <si>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</si>
  <si>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</si>
  <si>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</si>
  <si>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</si>
  <si>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</si>
  <si>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</si>
  <si>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</si>
  <si>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</si>
  <si>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</si>
  <si>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</si>
  <si>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</si>
  <si>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</si>
  <si>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</si>
  <si>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</si>
  <si>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</si>
  <si>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</si>
  <si>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</si>
  <si>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</si>
  <si>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</si>
  <si>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</si>
  <si>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</si>
  <si>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</si>
  <si>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</si>
  <si>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</si>
  <si>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</si>
  <si>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</si>
  <si>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</si>
  <si>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</si>
  <si>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</si>
  <si>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</si>
  <si>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</si>
  <si>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</si>
  <si>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</si>
  <si>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</si>
  <si>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</si>
  <si>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</si>
  <si>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</si>
  <si>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</si>
  <si>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</si>
  <si>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</si>
  <si>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</si>
  <si>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</si>
  <si>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</si>
  <si>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</si>
  <si>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</si>
  <si>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</si>
  <si>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</si>
  <si>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</si>
  <si>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</si>
  <si>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</si>
  <si>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</si>
  <si>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</si>
  <si>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</si>
  <si>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</si>
  <si>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</si>
  <si>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</si>
  <si>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</si>
  <si>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</si>
  <si>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</si>
  <si>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</si>
  <si>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</si>
  <si>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</si>
  <si>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</si>
  <si>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</si>
  <si>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</si>
  <si>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</si>
  <si>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</si>
  <si>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</si>
  <si>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</si>
  <si>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</si>
  <si>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</si>
  <si>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</si>
  <si>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</si>
  <si>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</si>
  <si>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</si>
  <si>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</si>
  <si>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</si>
  <si>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</si>
  <si>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</si>
  <si>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</si>
  <si>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</si>
  <si>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</si>
  <si>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</si>
  <si>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</si>
  <si>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</si>
  <si>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</si>
  <si>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</si>
  <si>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</si>
  <si>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</si>
  <si>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</si>
  <si>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</si>
  <si>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</si>
  <si>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</si>
  <si>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</si>
  <si>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</si>
  <si>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</si>
  <si>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</si>
  <si>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</si>
  <si>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</si>
  <si>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</si>
  <si>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</si>
  <si>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</si>
  <si>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</si>
  <si>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</si>
  <si>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</si>
  <si>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</si>
  <si>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</si>
  <si>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</si>
  <si>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</si>
  <si>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</si>
  <si>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</si>
  <si>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</si>
  <si>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</si>
  <si>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</si>
  <si>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</si>
  <si>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</si>
  <si>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</si>
  <si>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</si>
  <si>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</si>
  <si>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</si>
  <si>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</si>
  <si>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</si>
  <si>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</si>
  <si>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</si>
  <si>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</si>
  <si>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</si>
  <si>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</si>
  <si>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</si>
  <si>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</si>
  <si>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</si>
  <si>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</si>
  <si>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</si>
  <si>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</si>
  <si>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</si>
  <si>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</si>
  <si>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</si>
  <si>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</si>
  <si>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</si>
  <si>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</si>
  <si>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</si>
  <si>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</si>
  <si>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</si>
  <si>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</si>
  <si>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</si>
  <si>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</si>
  <si>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</si>
  <si>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</si>
  <si>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</si>
  <si>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</si>
  <si>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</si>
  <si>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</si>
  <si>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</si>
  <si>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</si>
  <si>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</si>
  <si>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</si>
  <si>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</si>
  <si>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</si>
  <si>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</si>
  <si>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</si>
  <si>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</si>
  <si>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</si>
  <si>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</si>
  <si>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</si>
  <si>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</si>
  <si>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</si>
  <si>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</si>
  <si>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</si>
  <si>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</si>
  <si>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</si>
  <si>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</si>
  <si>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</si>
  <si>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</si>
  <si>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</si>
  <si>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</si>
  <si>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</si>
  <si>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</si>
  <si>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</si>
  <si>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</si>
  <si>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</si>
  <si>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</si>
  <si>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</si>
  <si>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</si>
  <si>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</si>
  <si>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</si>
  <si>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</si>
  <si>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</si>
  <si>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</si>
  <si>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</si>
  <si>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</si>
  <si>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</si>
  <si>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</si>
  <si>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</si>
  <si>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</si>
  <si>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</si>
  <si>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</si>
  <si>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</si>
  <si>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</si>
  <si>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</si>
  <si>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</si>
  <si>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</si>
  <si>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</si>
  <si>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</si>
  <si>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</si>
  <si>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</si>
  <si>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</si>
  <si>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</si>
  <si>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</si>
  <si>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</si>
  <si>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</si>
  <si>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</si>
  <si>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</si>
  <si>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</si>
  <si>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</si>
  <si>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</si>
  <si>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</si>
  <si>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</si>
  <si>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</si>
  <si>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</si>
  <si>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</si>
  <si>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</si>
  <si>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</si>
  <si>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</si>
  <si>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</si>
  <si>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</si>
  <si>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</si>
  <si>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</si>
  <si>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</si>
  <si>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</si>
  <si>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</si>
  <si>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</si>
  <si>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</si>
  <si>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</si>
  <si>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</si>
  <si>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</si>
  <si>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</si>
  <si>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</si>
  <si>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</si>
  <si>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</si>
  <si>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</si>
  <si>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</si>
  <si>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</si>
  <si>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</si>
  <si>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</si>
  <si>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</si>
  <si>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</si>
  <si>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</si>
  <si>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</si>
  <si>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</si>
  <si>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</si>
  <si>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</si>
  <si>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</si>
  <si>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</si>
  <si>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</si>
  <si>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</si>
  <si>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</si>
  <si>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</si>
  <si>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</si>
  <si>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</si>
  <si>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</si>
  <si>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</si>
  <si>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</si>
  <si>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</si>
  <si>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</si>
  <si>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</si>
  <si>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</si>
  <si>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</si>
  <si>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</si>
  <si>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</si>
  <si>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</si>
  <si>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</si>
  <si>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</si>
  <si>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</si>
  <si>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</si>
  <si>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</si>
  <si>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</si>
  <si>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</si>
  <si>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</si>
  <si>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</si>
  <si>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</si>
  <si>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</si>
  <si>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</si>
  <si>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</si>
  <si>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</si>
  <si>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</si>
  <si>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</si>
  <si>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</si>
  <si>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</si>
  <si>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</si>
  <si>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</si>
  <si>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</si>
  <si>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</si>
  <si>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</si>
  <si>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</si>
  <si>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</si>
  <si>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</si>
  <si>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</si>
  <si>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</si>
  <si>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</si>
  <si>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</si>
  <si>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</si>
  <si>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</si>
  <si>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</si>
  <si>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</si>
  <si>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</si>
  <si>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</si>
  <si>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</si>
  <si>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</si>
  <si>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</si>
  <si>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</si>
  <si>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</si>
  <si>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</si>
  <si>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</si>
  <si>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</si>
  <si>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</si>
  <si>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</si>
  <si>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</si>
  <si>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</si>
  <si>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</si>
  <si>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</si>
  <si>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</si>
  <si>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</si>
  <si>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</si>
  <si>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</si>
  <si>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</si>
  <si>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</si>
  <si>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</si>
  <si>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</si>
  <si>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</si>
  <si>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</si>
  <si>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</si>
  <si>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</si>
  <si>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</si>
  <si>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</si>
  <si>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</si>
  <si>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</si>
  <si>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</si>
  <si>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</si>
  <si>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</si>
  <si>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</si>
  <si>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</si>
  <si>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</si>
  <si>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</si>
  <si>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</si>
  <si>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</si>
  <si>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</si>
  <si>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</si>
  <si>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</si>
  <si>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</si>
  <si>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</si>
  <si>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</si>
  <si>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</si>
  <si>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</si>
  <si>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</si>
  <si>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</si>
  <si>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</si>
  <si>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</si>
  <si>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</si>
  <si>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</si>
  <si>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</si>
  <si>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</si>
  <si>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</si>
  <si>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</si>
  <si>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</si>
  <si>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</si>
  <si>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</si>
  <si>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</si>
  <si>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</si>
  <si>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</si>
  <si>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</si>
  <si>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</si>
  <si>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</si>
  <si>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</si>
  <si>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</si>
  <si>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</si>
  <si>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</si>
  <si>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</si>
  <si>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</si>
  <si>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</si>
  <si>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</si>
  <si>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</si>
  <si>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</si>
  <si>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</si>
  <si>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</si>
  <si>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</si>
  <si>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</si>
  <si>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</si>
  <si>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</si>
  <si>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</si>
  <si>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</si>
  <si>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</si>
  <si>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</si>
  <si>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</si>
  <si>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</si>
  <si>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</si>
  <si>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</si>
  <si>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</si>
  <si>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</si>
  <si>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</si>
  <si>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</si>
  <si>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</si>
  <si>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</si>
  <si>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</si>
  <si>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</si>
  <si>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</si>
  <si>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</si>
  <si>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</si>
  <si>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</si>
  <si>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</si>
  <si>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</si>
  <si>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</si>
  <si>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</si>
  <si>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</si>
  <si>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</si>
  <si>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</si>
  <si>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</si>
  <si>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</si>
  <si>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</si>
  <si>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</si>
  <si>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</si>
  <si>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</si>
  <si>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</si>
  <si>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</si>
  <si>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</si>
  <si>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</si>
  <si>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</si>
  <si>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</si>
  <si>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</si>
  <si>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</si>
  <si>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</si>
  <si>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</si>
  <si>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</si>
  <si>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</si>
  <si>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</si>
  <si>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</si>
  <si>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</si>
  <si>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</si>
  <si>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</si>
  <si>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</si>
  <si>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</si>
  <si>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</si>
  <si>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</si>
  <si>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</si>
  <si>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</si>
  <si>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</si>
  <si>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</si>
  <si>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</si>
  <si>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</si>
  <si>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</si>
  <si>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</si>
  <si>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</si>
  <si>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</si>
  <si>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</si>
  <si>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</si>
  <si>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</si>
  <si>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</si>
  <si>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</si>
  <si>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</si>
  <si>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</si>
  <si>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</si>
  <si>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</si>
  <si>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</si>
  <si>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</si>
  <si>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</si>
  <si>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</si>
  <si>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</si>
  <si>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</si>
  <si>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</si>
  <si>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</si>
  <si>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</si>
  <si>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</si>
  <si>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</si>
  <si>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</si>
  <si>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</si>
  <si>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</si>
  <si>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</si>
  <si>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</si>
  <si>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</si>
  <si>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</si>
  <si>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</si>
  <si>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</si>
  <si>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</si>
  <si>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</si>
  <si>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</si>
  <si>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</si>
  <si>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</si>
  <si>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</si>
  <si>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</si>
  <si>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</si>
  <si>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</si>
  <si>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</si>
  <si>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</si>
  <si>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</si>
  <si>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</si>
  <si>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</si>
  <si>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</si>
  <si>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</si>
  <si>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</si>
  <si>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</si>
  <si>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</si>
  <si>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</si>
  <si>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</si>
  <si>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</si>
  <si>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</si>
  <si>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</si>
  <si>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</si>
  <si>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</si>
  <si>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</si>
  <si>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</si>
  <si>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</si>
  <si>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</si>
  <si>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</si>
  <si>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</si>
  <si>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</si>
  <si>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</si>
  <si>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</si>
  <si>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</si>
  <si>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</si>
  <si>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</si>
  <si>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</si>
  <si>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</si>
  <si>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</si>
  <si>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</si>
  <si>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</si>
  <si>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</si>
  <si>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</si>
  <si>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</si>
  <si>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</si>
  <si>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</si>
  <si>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</si>
  <si>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</si>
  <si>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</si>
  <si>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</si>
  <si>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</si>
  <si>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</si>
  <si>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</si>
  <si>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</si>
  <si>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</si>
  <si>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</si>
  <si>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</si>
  <si>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</si>
  <si>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</si>
  <si>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</si>
  <si>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</si>
  <si>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</si>
  <si>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</si>
  <si>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</si>
  <si>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</si>
  <si>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</si>
  <si>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</si>
  <si>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</si>
  <si>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</si>
  <si>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</si>
  <si>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</si>
  <si>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</si>
  <si>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</si>
  <si>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</si>
  <si>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</si>
  <si>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</si>
  <si>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</si>
  <si>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</si>
  <si>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</si>
  <si>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</si>
  <si>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</si>
  <si>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</si>
  <si>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</si>
  <si>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</si>
  <si>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</si>
  <si>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</si>
  <si>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</si>
  <si>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</si>
  <si>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</si>
  <si>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</si>
  <si>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</si>
  <si>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</si>
  <si>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</si>
  <si>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</si>
  <si>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</si>
  <si>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</si>
  <si>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</si>
  <si>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</si>
  <si>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</si>
  <si>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</si>
  <si>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</si>
  <si>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</si>
  <si>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</si>
  <si>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</si>
  <si>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</si>
  <si>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</si>
  <si>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</si>
  <si>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</si>
  <si>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</si>
  <si>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</si>
  <si>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</si>
  <si>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</si>
  <si>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</si>
  <si>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</si>
  <si>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</si>
  <si>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</si>
  <si>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</si>
  <si>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</si>
  <si>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</si>
  <si>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</si>
  <si>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</si>
  <si>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</si>
  <si>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</si>
  <si>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</si>
  <si>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</si>
  <si>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</si>
  <si>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</si>
  <si>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</si>
  <si>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</si>
  <si>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</si>
  <si>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</si>
  <si>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</si>
  <si>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</si>
  <si>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</si>
  <si>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</si>
  <si>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</si>
  <si>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</si>
  <si>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</si>
  <si>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</si>
  <si>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</si>
  <si>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</si>
  <si>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</si>
  <si>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</si>
  <si>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</si>
  <si>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</si>
  <si>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</si>
  <si>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</si>
  <si>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</si>
  <si>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</si>
  <si>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</si>
  <si>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</si>
  <si>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</si>
  <si>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</si>
  <si>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</si>
  <si>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</si>
  <si>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</si>
  <si>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</si>
  <si>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</si>
  <si>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</si>
  <si>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</si>
  <si>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</si>
  <si>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</si>
  <si>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</si>
  <si>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</si>
  <si>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</si>
  <si>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</si>
  <si>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</si>
  <si>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</si>
  <si>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</si>
  <si>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</si>
  <si>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</si>
  <si>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</si>
  <si>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</si>
  <si>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</si>
  <si>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</si>
  <si>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</si>
  <si>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</si>
  <si>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</si>
  <si>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</si>
  <si>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</si>
  <si>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</si>
  <si>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</si>
  <si>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</si>
  <si>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</si>
  <si>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</si>
  <si>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</si>
  <si>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</si>
  <si>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</si>
  <si>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</si>
  <si>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</si>
  <si>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</si>
  <si>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</si>
  <si>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</si>
  <si>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</si>
  <si>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</si>
  <si>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</si>
  <si>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</si>
  <si>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</si>
  <si>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</si>
  <si>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</si>
  <si>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</si>
  <si>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</si>
  <si>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</si>
  <si>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</si>
  <si>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</si>
  <si>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</si>
  <si>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</si>
  <si>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</si>
  <si>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</si>
  <si>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</si>
  <si>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</si>
  <si>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</si>
  <si>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</si>
  <si>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</si>
  <si>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</si>
  <si>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</si>
  <si>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</si>
  <si>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</si>
  <si>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</si>
  <si>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</si>
  <si>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</si>
  <si>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</si>
  <si>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</si>
  <si>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</si>
  <si>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</si>
  <si>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</si>
  <si>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</si>
  <si>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</si>
  <si>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</si>
  <si>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</si>
  <si>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</si>
  <si>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</si>
  <si>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</si>
  <si>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</si>
  <si>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</si>
  <si>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</si>
  <si>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</si>
  <si>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</si>
  <si>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</si>
  <si>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</si>
  <si>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</si>
  <si>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</si>
  <si>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</si>
  <si>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</si>
  <si>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</si>
  <si>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</si>
  <si>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</si>
  <si>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</si>
  <si>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</si>
  <si>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</si>
  <si>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</si>
  <si>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</si>
  <si>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</si>
  <si>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</si>
  <si>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</si>
  <si>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</si>
  <si>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</si>
  <si>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</si>
  <si>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</si>
  <si>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</si>
  <si>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</si>
  <si>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</si>
  <si>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</si>
  <si>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</si>
  <si>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</si>
  <si>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</si>
  <si>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</si>
  <si>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</si>
  <si>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</si>
  <si>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</si>
  <si>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</si>
  <si>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</si>
  <si>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</si>
  <si>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</si>
  <si>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</si>
  <si>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</si>
  <si>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</si>
  <si>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</si>
  <si>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</si>
  <si>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</si>
  <si>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</si>
  <si>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</si>
  <si>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</si>
  <si>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</si>
  <si>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</si>
  <si>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</si>
  <si>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</si>
  <si>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</si>
  <si>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</si>
  <si>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</si>
  <si>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</si>
  <si>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</si>
  <si>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</si>
  <si>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</si>
  <si>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</si>
  <si>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</si>
  <si>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</si>
  <si>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</si>
  <si>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</si>
  <si>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</si>
  <si>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</si>
  <si>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</si>
  <si>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</si>
  <si>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</si>
  <si>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</si>
  <si>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</si>
  <si>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</si>
  <si>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</si>
  <si>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</si>
  <si>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</si>
  <si>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</si>
  <si>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</si>
  <si>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</si>
  <si>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</si>
  <si>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</si>
  <si>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</si>
  <si>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</si>
  <si>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</si>
  <si>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</si>
  <si>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</si>
  <si>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</si>
  <si>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</si>
  <si>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</si>
  <si>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</si>
  <si>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</si>
  <si>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</si>
  <si>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</si>
  <si>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</si>
  <si>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</si>
  <si>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</si>
  <si>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</si>
  <si>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</si>
  <si>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</si>
  <si>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</si>
  <si>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</si>
  <si>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</si>
  <si>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</si>
  <si>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</si>
  <si>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</si>
  <si>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</si>
  <si>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</si>
  <si>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</si>
  <si>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</si>
  <si>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</si>
  <si>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</si>
  <si>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</si>
  <si>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</si>
  <si>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</si>
  <si>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</si>
  <si>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</si>
  <si>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</si>
  <si>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</si>
  <si>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</si>
  <si>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</si>
  <si>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</si>
  <si>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</si>
  <si>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</si>
  <si>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</si>
  <si>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</si>
  <si>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</si>
  <si>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</si>
  <si>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</si>
  <si>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</si>
  <si>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</si>
  <si>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</si>
  <si>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</si>
  <si>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</si>
  <si>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</si>
  <si>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</si>
  <si>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</si>
  <si>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</si>
  <si>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</si>
  <si>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</si>
  <si>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</si>
  <si>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</si>
  <si>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</si>
  <si>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</si>
  <si>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</si>
  <si>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</si>
  <si>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</si>
  <si>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</si>
  <si>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</si>
  <si>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</si>
  <si>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</si>
  <si>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</si>
  <si>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</si>
  <si>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</si>
  <si>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</si>
  <si>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</si>
  <si>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</si>
  <si>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</si>
  <si>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</si>
  <si>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</si>
  <si>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</si>
  <si>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</si>
  <si>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</si>
  <si>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</si>
  <si>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</si>
  <si>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</si>
  <si>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</si>
  <si>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</si>
  <si>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</si>
  <si>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</si>
  <si>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</si>
  <si>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</si>
  <si>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</si>
  <si>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</si>
  <si>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</si>
  <si>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</si>
  <si>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</si>
  <si>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</si>
  <si>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</si>
  <si>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</si>
  <si>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</si>
  <si>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</si>
  <si>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</si>
  <si>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</si>
  <si>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</si>
  <si>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</si>
  <si>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</si>
  <si>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</si>
  <si>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</si>
  <si>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</si>
  <si>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</si>
  <si>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</si>
  <si>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</si>
  <si>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</si>
  <si>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</si>
  <si>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</si>
  <si>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</si>
  <si>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</si>
  <si>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</si>
  <si>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</si>
  <si>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</si>
  <si>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</si>
  <si>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</si>
  <si>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</si>
  <si>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</si>
  <si>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</si>
  <si>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</si>
  <si>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</si>
  <si>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</si>
  <si>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</si>
  <si>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</si>
  <si>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</si>
  <si>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</si>
  <si>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</si>
  <si>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</si>
  <si>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</si>
  <si>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</si>
  <si>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</si>
  <si>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</si>
  <si>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</si>
  <si>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</si>
  <si>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</si>
  <si>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</si>
  <si>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</si>
  <si>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</si>
  <si>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</si>
  <si>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</si>
  <si>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</si>
  <si>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</si>
  <si>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</si>
  <si>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</si>
  <si>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</si>
  <si>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</si>
  <si>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</si>
  <si>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</si>
  <si>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</si>
  <si>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</si>
  <si>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</si>
  <si>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</si>
  <si>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</si>
  <si>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</si>
  <si>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</si>
  <si>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</si>
  <si>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</si>
  <si>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</si>
  <si>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</si>
  <si>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</si>
  <si>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</si>
  <si>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</si>
  <si>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</si>
  <si>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</si>
  <si>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</si>
  <si>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</si>
  <si>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</si>
  <si>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</si>
  <si>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</si>
  <si>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</si>
  <si>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</si>
  <si>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</si>
  <si>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</si>
  <si>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</si>
  <si>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</si>
  <si>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</si>
  <si>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</si>
  <si>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</si>
  <si>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</si>
  <si>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</si>
  <si>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</si>
  <si>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</si>
  <si>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</si>
  <si>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</si>
  <si>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</si>
  <si>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</si>
  <si>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</si>
  <si>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</si>
  <si>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</si>
  <si>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</si>
  <si>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</si>
  <si>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</si>
  <si>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</si>
  <si>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</si>
  <si>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</si>
  <si>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</si>
  <si>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</si>
  <si>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</si>
  <si>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</si>
  <si>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</si>
  <si>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</si>
  <si>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</si>
  <si>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</si>
  <si>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</si>
  <si>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</si>
  <si>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</si>
  <si>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</si>
  <si>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</si>
  <si>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</si>
  <si>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</si>
  <si>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</si>
  <si>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</si>
  <si>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</si>
  <si>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</si>
  <si>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</si>
  <si>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</si>
  <si>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</si>
  <si>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</si>
  <si>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</si>
  <si>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</si>
  <si>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</si>
  <si>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</si>
  <si>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</si>
  <si>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</si>
  <si>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</si>
  <si>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</si>
  <si>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</si>
  <si>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</si>
  <si>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</si>
  <si>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</si>
  <si>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</si>
  <si>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</si>
  <si>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</si>
  <si>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</si>
  <si>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</si>
  <si>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</si>
  <si>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</si>
  <si>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</si>
  <si>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</si>
  <si>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</si>
  <si>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</si>
  <si>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</si>
  <si>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</si>
  <si>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</si>
  <si>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</si>
  <si>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</si>
  <si>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</si>
  <si>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</si>
  <si>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</si>
  <si>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</si>
  <si>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</si>
  <si>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</si>
  <si>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</si>
  <si>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</si>
  <si>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</si>
  <si>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</si>
  <si>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</si>
  <si>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</si>
  <si>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</si>
  <si>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</si>
  <si>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</si>
  <si>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</si>
  <si>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</si>
  <si>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</si>
  <si>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</si>
  <si>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</si>
  <si>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</si>
  <si>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</si>
  <si>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</si>
  <si>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</si>
  <si>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</si>
  <si>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</si>
  <si>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</si>
  <si>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</si>
  <si>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</si>
  <si>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</si>
  <si>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</si>
  <si>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</si>
  <si>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</si>
  <si>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</si>
  <si>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</si>
  <si>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</si>
  <si>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</si>
  <si>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</si>
  <si>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</si>
  <si>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</si>
  <si>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</si>
  <si>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</si>
  <si>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</si>
  <si>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</si>
  <si>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</si>
  <si>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</si>
  <si>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</si>
  <si>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</si>
  <si>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</si>
  <si>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</si>
  <si>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</si>
  <si>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</si>
  <si>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</si>
  <si>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</si>
  <si>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</si>
  <si>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</si>
  <si>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</si>
  <si>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</si>
  <si>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</si>
  <si>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</si>
  <si>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</si>
  <si>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</si>
  <si>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</si>
  <si>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</si>
  <si>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</si>
  <si>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</si>
  <si>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</si>
  <si>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</si>
  <si>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</si>
  <si>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</si>
  <si>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</si>
  <si>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</si>
  <si>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</si>
  <si>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</si>
  <si>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</si>
  <si>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</si>
  <si>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</si>
  <si>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</si>
  <si>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</si>
  <si>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</si>
  <si>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</si>
  <si>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</si>
  <si>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</si>
  <si>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</si>
  <si>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</si>
  <si>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</si>
  <si>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</si>
  <si>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</si>
  <si>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</si>
  <si>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</si>
  <si>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</si>
  <si>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</si>
  <si>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</si>
  <si>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</si>
  <si>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</si>
  <si>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</si>
  <si>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</si>
  <si>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</si>
  <si>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</si>
  <si>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</si>
  <si>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</si>
  <si>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</si>
  <si>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</si>
  <si>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</si>
  <si>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</si>
  <si>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</si>
  <si>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</si>
  <si>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</si>
  <si>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</si>
  <si>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</si>
  <si>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</si>
  <si>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</si>
  <si>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</si>
  <si>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</si>
  <si>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</si>
  <si>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</si>
  <si>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</si>
  <si>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</si>
  <si>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</si>
  <si>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</si>
  <si>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</si>
  <si>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</si>
  <si>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</si>
  <si>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</si>
  <si>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</si>
  <si>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</si>
  <si>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</si>
  <si>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</si>
  <si>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</si>
  <si>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</si>
  <si>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</si>
  <si>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</si>
  <si>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</si>
  <si>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</si>
  <si>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</si>
  <si>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</si>
  <si>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</si>
  <si>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</si>
  <si>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</si>
  <si>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</si>
  <si>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</si>
  <si>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</si>
  <si>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</si>
  <si>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</si>
  <si>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</si>
  <si>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</si>
  <si>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</si>
  <si>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</si>
  <si>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</si>
  <si>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</si>
  <si>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</si>
  <si>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</si>
  <si>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</si>
  <si>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</si>
  <si>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</si>
  <si>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</si>
  <si>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</si>
  <si>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</si>
  <si>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</si>
  <si>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</si>
  <si>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</si>
  <si>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</si>
  <si>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</si>
  <si>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</si>
  <si>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</si>
  <si>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</si>
  <si>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</si>
  <si>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</si>
  <si>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</si>
  <si>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</si>
  <si>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</si>
  <si>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</si>
  <si>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</si>
  <si>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</si>
  <si>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</si>
  <si>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</si>
  <si>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</si>
  <si>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</si>
  <si>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</si>
  <si>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</si>
  <si>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</si>
  <si>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</si>
  <si>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</si>
  <si>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</si>
  <si>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</si>
  <si>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</si>
  <si>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</si>
  <si>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</si>
  <si>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</si>
  <si>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</si>
  <si>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</si>
  <si>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</si>
  <si>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</si>
  <si>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</si>
  <si>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</si>
  <si>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</si>
  <si>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</si>
  <si>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</si>
  <si>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</si>
  <si>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</si>
  <si>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</si>
  <si>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</si>
  <si>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</si>
  <si>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</si>
  <si>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</si>
  <si>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</si>
  <si>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</si>
  <si>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</si>
  <si>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</si>
  <si>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</si>
  <si>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</si>
  <si>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</si>
  <si>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</si>
  <si>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</si>
  <si>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</si>
  <si>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</si>
  <si>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</si>
  <si>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</si>
  <si>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</si>
  <si>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</si>
  <si>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</si>
  <si>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</si>
  <si>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</si>
  <si>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</si>
  <si>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</si>
  <si>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</si>
  <si>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</si>
  <si>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</si>
  <si>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</si>
  <si>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</si>
  <si>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</si>
  <si>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</si>
  <si>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</si>
  <si>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</si>
  <si>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</si>
  <si>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</si>
  <si>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</si>
  <si>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</si>
  <si>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</si>
  <si>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</si>
  <si>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</si>
  <si>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</si>
  <si>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</si>
  <si>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</si>
  <si>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</si>
  <si>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</si>
  <si>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</si>
  <si>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</si>
  <si>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</si>
  <si>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</si>
  <si>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</si>
  <si>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</si>
  <si>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</si>
  <si>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</si>
  <si>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</si>
  <si>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</si>
  <si>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</si>
  <si>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</si>
  <si>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</si>
  <si>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</si>
  <si>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</si>
  <si>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</si>
  <si>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</si>
  <si>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</si>
  <si>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</si>
  <si>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</si>
  <si>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</si>
  <si>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</si>
  <si>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</si>
  <si>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</si>
  <si>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</si>
  <si>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</si>
  <si>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</si>
  <si>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</si>
  <si>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</si>
  <si>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</si>
  <si>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</si>
  <si>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</si>
  <si>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</si>
  <si>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</si>
  <si>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</si>
  <si>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</si>
  <si>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</si>
  <si>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</si>
  <si>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</si>
  <si>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</si>
  <si>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</si>
  <si>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</si>
  <si>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</si>
  <si>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</si>
  <si>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</si>
  <si>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</si>
  <si>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</si>
  <si>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</si>
  <si>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</si>
  <si>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</si>
  <si>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</si>
  <si>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</si>
  <si>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</si>
  <si>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</si>
  <si>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</si>
  <si>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</si>
  <si>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</si>
  <si>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</si>
  <si>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</si>
  <si>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</si>
  <si>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</si>
  <si>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</si>
  <si>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</si>
  <si>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</si>
  <si>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</si>
  <si>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</si>
  <si>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</si>
  <si>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</si>
  <si>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</si>
  <si>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</si>
  <si>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</si>
  <si>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</si>
  <si>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</si>
  <si>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</si>
  <si>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</si>
  <si>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</si>
  <si>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</si>
  <si>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</si>
  <si>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</si>
  <si>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</si>
  <si>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</si>
  <si>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</si>
  <si>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</si>
  <si>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</si>
  <si>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</si>
  <si>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</si>
  <si>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</si>
  <si>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</si>
  <si>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</si>
  <si>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</si>
  <si>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</si>
  <si>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</si>
  <si>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</si>
  <si>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</si>
  <si>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</si>
  <si>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</si>
  <si>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</si>
  <si>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</si>
  <si>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</si>
  <si>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</si>
  <si>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</si>
  <si>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</si>
  <si>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</si>
  <si>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</si>
  <si>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</si>
  <si>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</si>
  <si>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</si>
  <si>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</si>
  <si>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</si>
  <si>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</si>
  <si>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</si>
  <si>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</si>
  <si>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</si>
  <si>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</si>
  <si>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</si>
  <si>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</si>
  <si>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</si>
  <si>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</si>
  <si>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</si>
  <si>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</si>
  <si>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</si>
  <si>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</si>
  <si>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</si>
  <si>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</si>
  <si>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</si>
  <si>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</si>
  <si>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</si>
  <si>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</si>
  <si>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</si>
  <si>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</si>
  <si>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</si>
  <si>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</si>
  <si>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</si>
  <si>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</si>
  <si>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</si>
  <si>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</si>
  <si>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</si>
  <si>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</si>
  <si>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</si>
  <si>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</si>
  <si>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</si>
  <si>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</si>
  <si>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</si>
  <si>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</si>
  <si>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</si>
  <si>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</si>
  <si>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</si>
  <si>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</si>
  <si>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</si>
  <si>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</si>
  <si>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</si>
  <si>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</si>
  <si>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</si>
  <si>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</si>
  <si>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</si>
  <si>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</si>
  <si>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</si>
  <si>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</si>
  <si>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</si>
  <si>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</si>
  <si>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</si>
  <si>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</si>
  <si>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</si>
  <si>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</si>
  <si>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</si>
  <si>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</si>
  <si>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</si>
  <si>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</si>
  <si>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</si>
  <si>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</si>
  <si>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</si>
  <si>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</si>
  <si>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</si>
  <si>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</si>
  <si>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</si>
  <si>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</si>
  <si>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</si>
  <si>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</si>
  <si>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</si>
  <si>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</si>
  <si>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</si>
  <si>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</si>
  <si>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</si>
  <si>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</si>
  <si>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</si>
  <si>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</si>
  <si>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</si>
  <si>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</si>
  <si>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</si>
  <si>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</si>
  <si>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</si>
  <si>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</si>
  <si>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</si>
  <si>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</si>
  <si>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</si>
  <si>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</si>
  <si>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</si>
  <si>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</si>
  <si>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</si>
  <si>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</si>
  <si>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</si>
  <si>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</si>
  <si>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</si>
  <si>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</si>
  <si>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</si>
  <si>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</si>
  <si>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</si>
  <si>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</si>
  <si>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</si>
  <si>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</si>
  <si>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</si>
  <si>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</si>
  <si>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</si>
  <si>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</si>
  <si>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</si>
  <si>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</si>
  <si>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</si>
  <si>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</si>
  <si>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</si>
  <si>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</si>
  <si>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</si>
  <si>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</si>
  <si>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</si>
  <si>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</si>
  <si>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</si>
  <si>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</si>
  <si>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</si>
  <si>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</si>
  <si>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</si>
  <si>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</si>
  <si>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</si>
  <si>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</si>
  <si>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</si>
  <si>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</si>
  <si>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</si>
  <si>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</si>
  <si>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</si>
  <si>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</si>
  <si>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</si>
  <si>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</si>
  <si>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</si>
  <si>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</si>
  <si>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</si>
  <si>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</si>
  <si>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</si>
  <si>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</si>
  <si>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</si>
  <si>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</si>
  <si>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</si>
  <si>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</si>
  <si>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</si>
  <si>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</si>
  <si>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</si>
  <si>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</si>
  <si>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</si>
  <si>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</si>
  <si>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</si>
  <si>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</si>
  <si>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</si>
  <si>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</si>
  <si>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</si>
  <si>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</si>
  <si>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</si>
  <si>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</si>
  <si>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</si>
  <si>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</si>
  <si>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</si>
  <si>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</si>
  <si>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</si>
  <si>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</si>
  <si>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</si>
  <si>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</si>
  <si>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</si>
  <si>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</si>
  <si>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</si>
  <si>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</si>
  <si>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</si>
  <si>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</si>
  <si>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</si>
  <si>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</si>
  <si>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</si>
  <si>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</si>
  <si>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</si>
  <si>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</si>
  <si>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</si>
  <si>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</si>
  <si>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</si>
  <si>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</si>
  <si>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</si>
  <si>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</si>
  <si>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</si>
  <si>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</si>
  <si>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</si>
  <si>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</si>
  <si>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</si>
  <si>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</si>
  <si>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</si>
  <si>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</si>
  <si>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</si>
  <si>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</si>
  <si>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</si>
  <si>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</si>
  <si>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</si>
  <si>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</si>
  <si>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</si>
  <si>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</si>
  <si>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</si>
  <si>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</si>
  <si>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</si>
  <si>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</si>
  <si>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</si>
  <si>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</si>
  <si>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</si>
  <si>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</si>
  <si>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</si>
  <si>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</si>
  <si>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</si>
  <si>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</si>
  <si>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</si>
  <si>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</si>
  <si>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</si>
  <si>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</si>
  <si>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</si>
  <si>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</si>
  <si>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</si>
  <si>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</si>
  <si>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</si>
  <si>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</si>
  <si>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</si>
  <si>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</si>
  <si>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</si>
  <si>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</si>
  <si>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</si>
  <si>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</si>
  <si>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</si>
  <si>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</si>
  <si>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</si>
  <si>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</si>
  <si>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</si>
  <si>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</si>
  <si>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</si>
  <si>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</si>
  <si>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</si>
  <si>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</si>
  <si>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</si>
  <si>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</si>
  <si>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</si>
  <si>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</si>
  <si>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</si>
  <si>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</si>
  <si>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</si>
  <si>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</si>
  <si>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</si>
  <si>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</si>
  <si>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</si>
  <si>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</si>
  <si>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</si>
  <si>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</si>
  <si>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</si>
  <si>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</si>
  <si>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</si>
  <si>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</si>
  <si>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</si>
  <si>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</si>
  <si>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</si>
  <si>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</si>
  <si>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</si>
  <si>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</si>
  <si>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</si>
  <si>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</si>
  <si>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</si>
  <si>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</si>
  <si>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</si>
  <si>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</si>
  <si>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</si>
  <si>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</si>
  <si>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</si>
  <si>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</si>
  <si>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</si>
  <si>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</si>
  <si>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</si>
  <si>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</si>
  <si>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</si>
  <si>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</si>
  <si>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</si>
  <si>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</si>
  <si>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</si>
  <si>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</si>
  <si>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</si>
  <si>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</si>
  <si>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</si>
  <si>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</si>
  <si>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</si>
  <si>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</si>
  <si>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</si>
  <si>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</si>
  <si>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</si>
  <si>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</si>
  <si>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</si>
  <si>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</si>
  <si>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</si>
  <si>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</si>
  <si>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</si>
  <si>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</si>
  <si>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</si>
  <si>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</si>
  <si>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</si>
  <si>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</si>
  <si>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</si>
  <si>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</si>
  <si>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</si>
  <si>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</si>
  <si>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</si>
  <si>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</si>
  <si>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</si>
  <si>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</si>
  <si>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</si>
  <si>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</si>
  <si>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</si>
  <si>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</si>
  <si>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</si>
  <si>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</si>
  <si>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</si>
  <si>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</si>
  <si>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</si>
  <si>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</si>
  <si>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</si>
  <si>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</si>
  <si>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</si>
  <si>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</si>
  <si>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</si>
  <si>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</si>
  <si>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</si>
  <si>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</si>
  <si>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</si>
  <si>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</si>
  <si>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</si>
  <si>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</si>
  <si>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</si>
  <si>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</si>
  <si>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</si>
  <si>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</si>
  <si>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</si>
  <si>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</si>
  <si>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</si>
  <si>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</si>
  <si>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</si>
  <si>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</si>
  <si>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</si>
  <si>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</si>
  <si>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</si>
  <si>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</si>
  <si>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</si>
  <si>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</si>
  <si>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</si>
  <si>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</si>
  <si>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</si>
  <si>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</si>
  <si>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</si>
  <si>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</si>
  <si>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</si>
  <si>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</si>
  <si>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</si>
  <si>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</si>
  <si>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</si>
  <si>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</si>
  <si>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</si>
  <si>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</si>
  <si>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</si>
  <si>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</si>
  <si>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</si>
  <si>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</si>
  <si>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</si>
  <si>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</si>
  <si>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</si>
  <si>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</si>
  <si>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</si>
  <si>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</si>
  <si>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</si>
  <si>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</si>
  <si>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</si>
  <si>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</si>
  <si>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</si>
  <si>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</si>
  <si>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</si>
  <si>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</si>
  <si>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</si>
  <si>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</si>
  <si>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</si>
  <si>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</si>
  <si>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</si>
  <si>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</si>
  <si>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</si>
  <si>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</si>
  <si>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</si>
  <si>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</si>
  <si>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</si>
  <si>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</si>
  <si>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</si>
  <si>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</si>
  <si>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</si>
  <si>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</si>
  <si>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</si>
  <si>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</si>
  <si>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</si>
  <si>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</si>
  <si>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</si>
  <si>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</si>
  <si>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</si>
  <si>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</si>
  <si>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</si>
  <si>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</si>
  <si>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</si>
  <si>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</si>
  <si>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</si>
  <si>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</si>
  <si>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</si>
  <si>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</si>
  <si>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</si>
  <si>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</si>
  <si>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</si>
  <si>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</si>
  <si>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</si>
  <si>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</si>
  <si>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</si>
  <si>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</si>
  <si>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</si>
  <si>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</si>
  <si>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</si>
  <si>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</si>
  <si>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</si>
  <si>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</si>
  <si>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</si>
  <si>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</si>
  <si>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</si>
  <si>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</si>
  <si>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</si>
  <si>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</si>
  <si>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</si>
  <si>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</si>
  <si>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</si>
  <si>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</si>
  <si>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</si>
  <si>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</si>
  <si>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</si>
  <si>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</si>
  <si>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</si>
  <si>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</si>
  <si>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</si>
  <si>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</si>
  <si>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</si>
  <si>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</si>
  <si>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</si>
  <si>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</si>
  <si>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</si>
  <si>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</si>
  <si>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</si>
  <si>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</si>
  <si>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</si>
  <si>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</si>
  <si>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</si>
  <si>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</si>
  <si>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</si>
  <si>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</si>
  <si>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</si>
  <si>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</si>
  <si>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</si>
  <si>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</si>
  <si>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</si>
  <si>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</si>
  <si>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</si>
  <si>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</si>
  <si>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</si>
  <si>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</si>
  <si>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</si>
  <si>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</si>
  <si>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</si>
  <si>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</si>
  <si>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</si>
  <si>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</si>
  <si>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</si>
  <si>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</si>
  <si>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</si>
  <si>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</si>
  <si>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</si>
  <si>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</si>
  <si>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</si>
  <si>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</si>
  <si>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</si>
  <si>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</si>
  <si>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</si>
  <si>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</si>
  <si>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</si>
  <si>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</si>
  <si>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</si>
  <si>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</si>
  <si>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</si>
  <si>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</si>
  <si>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</si>
  <si>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</si>
  <si>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</si>
  <si>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</si>
  <si>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</si>
  <si>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</si>
  <si>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</si>
  <si>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</si>
  <si>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</si>
  <si>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</si>
  <si>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</si>
  <si>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</si>
  <si>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</si>
  <si>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</si>
  <si>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</si>
  <si>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</si>
  <si>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</si>
  <si>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</si>
  <si>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</si>
  <si>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</si>
  <si>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</si>
  <si>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</si>
  <si>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</si>
  <si>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</si>
  <si>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</si>
  <si>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</si>
  <si>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</si>
  <si>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</si>
  <si>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</si>
  <si>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</si>
  <si>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</si>
  <si>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</si>
  <si>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</si>
  <si>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</si>
  <si>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</si>
  <si>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</si>
  <si>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</si>
  <si>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</si>
  <si>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</si>
  <si>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</si>
  <si>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</si>
  <si>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</si>
  <si>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</si>
  <si>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</si>
  <si>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</si>
  <si>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</si>
  <si>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</si>
  <si>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</si>
  <si>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</si>
  <si>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</si>
  <si>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</si>
  <si>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</si>
  <si>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</si>
  <si>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</si>
  <si>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</si>
  <si>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</si>
  <si>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</si>
  <si>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</si>
  <si>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</si>
  <si>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</si>
  <si>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</si>
  <si>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</si>
  <si>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</si>
  <si>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</si>
  <si>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</si>
  <si>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</si>
  <si>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</si>
  <si>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</si>
  <si>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</si>
  <si>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</si>
  <si>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</si>
  <si>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</si>
  <si>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</si>
  <si>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</si>
  <si>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</si>
  <si>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</si>
  <si>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</si>
  <si>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</si>
  <si>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</si>
  <si>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</si>
  <si>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</si>
  <si>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</si>
  <si>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</si>
  <si>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</si>
  <si>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</si>
  <si>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</si>
  <si>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</si>
  <si>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</si>
  <si>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</si>
  <si>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</si>
  <si>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</si>
  <si>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</si>
  <si>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</si>
  <si>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</si>
  <si>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</si>
  <si>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</si>
  <si>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</si>
  <si>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</si>
  <si>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</si>
  <si>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</si>
  <si>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</si>
  <si>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</si>
  <si>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</si>
  <si>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</si>
  <si>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</si>
  <si>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</si>
  <si>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</si>
  <si>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</si>
  <si>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</si>
  <si>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</si>
  <si>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</si>
  <si>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</si>
  <si>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</si>
  <si>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</si>
  <si>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</si>
  <si>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</si>
  <si>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</si>
  <si>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</si>
  <si>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</si>
  <si>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</si>
  <si>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</si>
  <si>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</si>
  <si>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</si>
  <si>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</si>
  <si>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</si>
  <si>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</si>
  <si>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</si>
  <si>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</si>
  <si>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</si>
  <si>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</si>
  <si>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</si>
  <si>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</si>
  <si>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</si>
  <si>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</si>
  <si>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</si>
  <si>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</si>
  <si>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</si>
  <si>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</si>
  <si>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</si>
  <si>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</si>
  <si>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</si>
  <si>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</si>
  <si>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</si>
  <si>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</si>
  <si>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</si>
  <si>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</si>
  <si>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</si>
  <si>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</si>
  <si>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</si>
  <si>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</si>
  <si>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</si>
  <si>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</si>
  <si>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</si>
  <si>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</si>
  <si>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</si>
  <si>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</si>
  <si>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</si>
  <si>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</si>
  <si>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</si>
  <si>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</si>
  <si>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</si>
  <si>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</si>
  <si>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</si>
  <si>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</si>
  <si>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</si>
  <si>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</si>
  <si>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</si>
  <si>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</si>
  <si>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</si>
  <si>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</si>
  <si>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</si>
  <si>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</si>
  <si>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</si>
  <si>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</si>
  <si>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</si>
  <si>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</si>
  <si>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</si>
  <si>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</si>
  <si>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</si>
  <si>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</si>
  <si>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</si>
  <si>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</si>
  <si>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</si>
  <si>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</si>
  <si>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</si>
  <si>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</si>
  <si>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</si>
  <si>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</si>
  <si>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</si>
  <si>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</si>
  <si>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</si>
  <si>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</si>
  <si>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</si>
  <si>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</si>
  <si>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</si>
  <si>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</si>
  <si>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</si>
  <si>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</si>
  <si>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</si>
  <si>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</si>
  <si>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</si>
  <si>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</si>
  <si>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</si>
  <si>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</si>
  <si>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</si>
  <si>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</si>
  <si>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</si>
  <si>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</si>
  <si>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</si>
  <si>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</si>
  <si>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</si>
  <si>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</si>
  <si>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</si>
  <si>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</si>
  <si>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</si>
  <si>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</si>
  <si>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</si>
  <si>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</si>
  <si>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</si>
  <si>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</si>
  <si>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</si>
  <si>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</si>
  <si>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</si>
  <si>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</si>
  <si>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</si>
  <si>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</si>
  <si>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</si>
  <si>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</si>
  <si>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</si>
  <si>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</si>
  <si>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</si>
  <si>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</si>
  <si>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</si>
  <si>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</si>
  <si>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</si>
  <si>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</si>
  <si>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</si>
  <si>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</si>
  <si>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</si>
  <si>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</si>
  <si>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</si>
  <si>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</si>
  <si>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</si>
  <si>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</si>
  <si>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</si>
  <si>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</si>
  <si>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</si>
  <si>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</si>
  <si>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</si>
  <si>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</si>
  <si>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</si>
  <si>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</si>
  <si>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</si>
  <si>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</si>
  <si>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</si>
  <si>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</si>
  <si>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</si>
  <si>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</si>
  <si>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</si>
  <si>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</si>
  <si>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</si>
  <si>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</si>
  <si>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</si>
  <si>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</si>
  <si>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</si>
  <si>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</si>
  <si>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</si>
  <si>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</si>
  <si>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</si>
  <si>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</si>
  <si>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</si>
  <si>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</si>
  <si>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</si>
  <si>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</si>
  <si>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</si>
  <si>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</si>
  <si>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</si>
  <si>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</si>
  <si>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</si>
  <si>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</si>
  <si>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</si>
  <si>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</si>
  <si>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</si>
  <si>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</si>
  <si>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</si>
  <si>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</si>
  <si>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</si>
  <si>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</si>
  <si>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</si>
  <si>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</si>
  <si>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</si>
  <si>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</si>
  <si>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</si>
  <si>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</si>
  <si>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</si>
  <si>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</si>
  <si>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</si>
  <si>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</si>
  <si>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</si>
  <si>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</si>
  <si>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</si>
  <si>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</si>
  <si>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</si>
  <si>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</si>
  <si>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</si>
  <si>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</si>
  <si>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</si>
  <si>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</si>
  <si>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</si>
  <si>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</si>
  <si>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</si>
  <si>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</si>
  <si>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</si>
  <si>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</si>
  <si>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</si>
  <si>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</si>
  <si>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</si>
  <si>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</si>
  <si>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</si>
  <si>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</si>
  <si>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</si>
  <si>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</si>
  <si>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</si>
  <si>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</si>
  <si>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</si>
  <si>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</si>
  <si>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</si>
  <si>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</si>
  <si>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</si>
  <si>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</si>
  <si>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</si>
  <si>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</si>
  <si>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</si>
  <si>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</si>
  <si>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</si>
  <si>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</si>
  <si>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</si>
  <si>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</si>
  <si>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</si>
  <si>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</si>
  <si>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</si>
  <si>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</si>
  <si>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</si>
  <si>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</si>
  <si>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</si>
  <si>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</si>
  <si>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</si>
  <si>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</si>
  <si>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</si>
  <si>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</si>
  <si>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</si>
  <si>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</si>
  <si>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</si>
  <si>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</si>
  <si>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</si>
  <si>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</si>
  <si>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</si>
  <si>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</si>
  <si>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</si>
  <si>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</si>
  <si>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</si>
  <si>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</si>
  <si>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</si>
  <si>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</si>
  <si>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</si>
  <si>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</si>
  <si>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</si>
  <si>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</si>
  <si>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</si>
  <si>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</si>
  <si>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</si>
  <si>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</si>
  <si>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</si>
  <si>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</si>
  <si>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</si>
  <si>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</si>
  <si>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</si>
  <si>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</si>
  <si>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</si>
  <si>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</si>
  <si>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</si>
  <si>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</si>
  <si>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</si>
  <si>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</si>
  <si>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</si>
  <si>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</si>
  <si>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</si>
  <si>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</si>
  <si>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</si>
  <si>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</si>
  <si>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</si>
  <si>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</si>
  <si>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</si>
  <si>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</si>
  <si>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</si>
  <si>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</si>
  <si>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</si>
  <si>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</si>
  <si>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</si>
  <si>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</si>
  <si>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</si>
  <si>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</si>
  <si>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</si>
  <si>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</si>
  <si>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</si>
  <si>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</si>
  <si>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</si>
  <si>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</si>
  <si>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</si>
  <si>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</si>
  <si>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</si>
  <si>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</si>
  <si>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</si>
  <si>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</si>
  <si>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</si>
  <si>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</si>
  <si>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</si>
  <si>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</si>
  <si>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</si>
  <si>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</si>
  <si>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</si>
  <si>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</si>
  <si>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</si>
  <si>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</si>
  <si>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</si>
  <si>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</si>
  <si>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</si>
  <si>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</si>
  <si>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</si>
  <si>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</si>
  <si>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</si>
  <si>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</si>
  <si>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</si>
  <si>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</si>
  <si>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</si>
  <si>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</si>
  <si>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</si>
  <si>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</si>
  <si>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</si>
  <si>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</si>
  <si>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</si>
  <si>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</si>
  <si>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</si>
  <si>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</si>
  <si>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</si>
  <si>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</si>
  <si>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</si>
  <si>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</si>
  <si>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</si>
  <si>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</si>
  <si>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</si>
  <si>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</si>
  <si>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</si>
  <si>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</si>
  <si>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</si>
  <si>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</si>
  <si>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</si>
  <si>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</si>
  <si>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</si>
  <si>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</si>
  <si>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</si>
  <si>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</si>
  <si>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</si>
  <si>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</si>
  <si>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</si>
  <si>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</si>
  <si>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</si>
  <si>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</si>
  <si>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</si>
  <si>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</si>
  <si>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</si>
  <si>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</si>
  <si>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</si>
  <si>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</si>
  <si>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</si>
  <si>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</si>
  <si>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</si>
  <si>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</si>
  <si>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</si>
  <si>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</si>
  <si>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</si>
  <si>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</si>
  <si>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</si>
  <si>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</si>
  <si>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</si>
  <si>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</si>
  <si>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</si>
  <si>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</si>
  <si>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</si>
  <si>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</si>
  <si>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</si>
  <si>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</si>
  <si>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</si>
  <si>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</si>
  <si>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</si>
  <si>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</si>
  <si>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</si>
  <si>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</si>
  <si>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</si>
  <si>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</si>
  <si>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</si>
  <si>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</si>
  <si>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</si>
  <si>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</si>
  <si>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</si>
  <si>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</si>
  <si>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</si>
  <si>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</si>
  <si>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</si>
  <si>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</si>
  <si>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</si>
  <si>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</si>
  <si>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</si>
  <si>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</si>
  <si>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</si>
  <si>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</si>
  <si>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</si>
  <si>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</si>
  <si>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</si>
  <si>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</si>
  <si>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</si>
  <si>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</si>
  <si>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</si>
  <si>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</si>
  <si>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</si>
  <si>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</si>
  <si>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</si>
  <si>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</si>
  <si>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</si>
  <si>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</si>
  <si>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</si>
  <si>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</si>
  <si>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</si>
  <si>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</si>
  <si>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</si>
  <si>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</si>
  <si>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</si>
  <si>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</si>
  <si>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</si>
  <si>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</si>
  <si>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</si>
  <si>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</si>
  <si>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</si>
  <si>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</si>
  <si>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</si>
  <si>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</si>
  <si>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</si>
  <si>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</si>
  <si>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</si>
  <si>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</si>
  <si>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</si>
  <si>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</si>
  <si>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</si>
  <si>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</si>
  <si>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</si>
  <si>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</si>
  <si>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</si>
  <si>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</si>
  <si>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</si>
  <si>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</si>
  <si>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</si>
  <si>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</si>
  <si>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</si>
  <si>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</si>
  <si>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</si>
  <si>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</si>
  <si>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</si>
  <si>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</si>
  <si>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</si>
  <si>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</si>
  <si>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</si>
  <si>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</si>
  <si>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</si>
  <si>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</si>
  <si>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</si>
  <si>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</si>
  <si>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</si>
  <si>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</si>
  <si>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</si>
  <si>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</si>
  <si>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</si>
  <si>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</si>
  <si>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</si>
  <si>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</si>
  <si>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</si>
  <si>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</si>
  <si>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</si>
  <si>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</si>
  <si>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</si>
  <si>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</si>
  <si>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</si>
  <si>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</si>
  <si>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</si>
  <si>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</si>
  <si>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</si>
  <si>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</si>
  <si>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</si>
  <si>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</si>
  <si>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</si>
  <si>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</si>
  <si>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</si>
  <si>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</si>
  <si>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</si>
  <si>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</si>
  <si>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</si>
  <si>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</si>
  <si>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</si>
  <si>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</si>
  <si>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</si>
  <si>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</si>
  <si>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</si>
  <si>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</si>
  <si>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</si>
  <si>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</si>
  <si>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</si>
  <si>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</si>
  <si>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</si>
  <si>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</si>
  <si>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</si>
  <si>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</si>
  <si>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</si>
  <si>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</si>
  <si>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</si>
  <si>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</si>
  <si>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</si>
  <si>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</si>
  <si>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</si>
  <si>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</si>
  <si>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</si>
  <si>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</si>
  <si>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</si>
  <si>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</si>
  <si>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</si>
  <si>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</si>
  <si>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</si>
  <si>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</si>
  <si>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</si>
  <si>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</si>
  <si>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</si>
  <si>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</si>
  <si>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</si>
  <si>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</si>
  <si>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</si>
  <si>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</si>
  <si>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</si>
  <si>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</si>
  <si>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</si>
  <si>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</si>
  <si>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</si>
  <si>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</si>
  <si>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</si>
  <si>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</si>
  <si>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</si>
  <si>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</si>
  <si>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</si>
  <si>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</si>
  <si>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</si>
  <si>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</si>
  <si>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</si>
  <si>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</si>
  <si>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</si>
  <si>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</si>
  <si>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</si>
  <si>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</si>
  <si>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</si>
  <si>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</si>
  <si>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</si>
  <si>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</si>
  <si>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</si>
  <si>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</si>
  <si>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</si>
  <si>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</si>
  <si>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</si>
  <si>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</si>
  <si>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</si>
  <si>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</si>
  <si>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</si>
  <si>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</si>
  <si>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</si>
  <si>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</si>
  <si>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</si>
  <si>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</si>
  <si>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</si>
  <si>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</si>
  <si>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</si>
  <si>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</si>
  <si>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</si>
  <si>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</si>
  <si>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</si>
  <si>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</si>
  <si>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</si>
  <si>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</si>
  <si>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</si>
  <si>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</si>
  <si>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</si>
  <si>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</si>
  <si>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</si>
  <si>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</si>
  <si>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</si>
  <si>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</si>
  <si>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</si>
  <si>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</si>
  <si>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</si>
  <si>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</si>
  <si>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</si>
  <si>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</si>
  <si>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</si>
  <si>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</si>
  <si>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</si>
  <si>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</si>
  <si>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</si>
  <si>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</si>
  <si>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</si>
  <si>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</si>
  <si>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</si>
  <si>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</si>
  <si>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</si>
  <si>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</si>
  <si>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</si>
  <si>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</si>
  <si>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</si>
  <si>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</si>
  <si>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</si>
  <si>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</si>
  <si>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</si>
  <si>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</si>
  <si>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</si>
  <si>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</si>
  <si>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</si>
  <si>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</si>
  <si>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</si>
  <si>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</si>
  <si>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</si>
  <si>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</si>
  <si>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</si>
  <si>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</si>
  <si>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</si>
  <si>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</si>
  <si>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</si>
  <si>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</si>
  <si>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</si>
  <si>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</si>
  <si>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</si>
  <si>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</si>
  <si>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</si>
  <si>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</si>
  <si>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</si>
  <si>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</si>
  <si>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</si>
  <si>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</si>
  <si>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</si>
  <si>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</si>
  <si>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</si>
  <si>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</si>
  <si>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</si>
  <si>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</si>
  <si>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</si>
  <si>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</si>
  <si>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</si>
  <si>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</si>
  <si>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</si>
  <si>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</si>
  <si>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</si>
  <si>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</si>
  <si>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</si>
  <si>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</si>
  <si>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</si>
  <si>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</si>
  <si>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</si>
  <si>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</si>
  <si>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</si>
  <si>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</si>
  <si>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</si>
  <si>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</si>
  <si>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</si>
  <si>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</si>
  <si>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</si>
  <si>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</si>
  <si>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</si>
  <si>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</si>
  <si>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</si>
  <si>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</si>
  <si>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</si>
  <si>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</si>
  <si>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</si>
  <si>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</si>
  <si>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</si>
  <si>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</si>
  <si>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</si>
  <si>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</si>
  <si>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</si>
  <si>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</si>
  <si>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</si>
  <si>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</si>
  <si>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</si>
  <si>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</si>
  <si>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</si>
  <si>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</si>
  <si>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</si>
  <si>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</si>
  <si>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</si>
  <si>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</si>
  <si>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</si>
  <si>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</si>
  <si>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</si>
  <si>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</si>
  <si>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</si>
  <si>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</si>
  <si>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</si>
  <si>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</si>
  <si>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</si>
  <si>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</si>
  <si>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</si>
  <si>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</si>
  <si>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</si>
  <si>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</si>
  <si>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</si>
  <si>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</si>
  <si>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</si>
  <si>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</si>
  <si>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</si>
  <si>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</si>
  <si>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</si>
  <si>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</si>
  <si>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</si>
  <si>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</si>
  <si>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</si>
  <si>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</si>
  <si>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</si>
  <si>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</si>
  <si>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</si>
  <si>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</si>
  <si>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</si>
  <si>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</si>
  <si>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</si>
  <si>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</si>
  <si>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</si>
  <si>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</si>
  <si>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</si>
  <si>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</si>
  <si>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</si>
  <si>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</si>
  <si>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</si>
  <si>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</si>
  <si>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</si>
  <si>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</si>
  <si>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</si>
  <si>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</si>
  <si>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</si>
  <si>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</si>
  <si>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</si>
  <si>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</si>
  <si>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</si>
  <si>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</si>
  <si>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</si>
  <si>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</si>
  <si>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</si>
  <si>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</si>
  <si>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</si>
  <si>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</si>
  <si>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</si>
  <si>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</si>
  <si>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</si>
  <si>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</si>
  <si>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</si>
  <si>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</si>
  <si>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</si>
  <si>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</si>
  <si>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</si>
  <si>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</si>
  <si>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</si>
  <si>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</si>
  <si>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</si>
  <si>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</si>
  <si>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</si>
  <si>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</si>
  <si>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</si>
  <si>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</si>
  <si>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</si>
  <si>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</si>
  <si>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</si>
  <si>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</si>
  <si>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</si>
  <si>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</si>
  <si>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</si>
  <si>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</si>
  <si>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</si>
  <si>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</si>
  <si>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</si>
  <si>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</si>
  <si>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</si>
  <si>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</si>
  <si>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</si>
  <si>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</si>
  <si>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</si>
  <si>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</si>
  <si>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</si>
  <si>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</si>
  <si>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</si>
  <si>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</si>
  <si>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</si>
  <si>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</si>
  <si>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</si>
  <si>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</si>
  <si>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</si>
  <si>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</si>
  <si>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</si>
  <si>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</si>
  <si>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</si>
  <si>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</si>
  <si>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</si>
  <si>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</si>
  <si>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</si>
  <si>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</si>
  <si>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</si>
  <si>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</si>
  <si>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</si>
  <si>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</si>
  <si>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</si>
  <si>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</si>
  <si>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</si>
  <si>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</si>
  <si>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</si>
  <si>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</si>
  <si>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</si>
  <si>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</si>
  <si>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</si>
  <si>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</si>
  <si>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</si>
  <si>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</si>
  <si>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</si>
  <si>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</si>
  <si>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</si>
  <si>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</si>
  <si>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</si>
  <si>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</si>
  <si>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</si>
  <si>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</si>
  <si>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</si>
  <si>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</si>
  <si>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</si>
  <si>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</si>
  <si>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</si>
  <si>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</si>
  <si>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</si>
  <si>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</si>
  <si>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</si>
  <si>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</si>
  <si>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</si>
  <si>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</si>
  <si>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</si>
  <si>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</si>
  <si>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</si>
  <si>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</si>
  <si>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</si>
  <si>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</si>
  <si>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</si>
  <si>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</si>
  <si>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</si>
  <si>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</si>
  <si>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</si>
  <si>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</si>
  <si>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</si>
  <si>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</si>
  <si>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</si>
  <si>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</si>
  <si>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</si>
  <si>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</si>
  <si>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</si>
  <si>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</si>
  <si>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</si>
  <si>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</si>
  <si>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</si>
  <si>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</si>
  <si>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</si>
  <si>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</si>
  <si>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</si>
  <si>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</si>
  <si>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</si>
  <si>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</si>
  <si>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</si>
  <si>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</si>
  <si>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</si>
  <si>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</si>
  <si>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</si>
  <si>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</si>
  <si>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</si>
  <si>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</si>
  <si>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</si>
  <si>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</si>
  <si>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</si>
  <si>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</si>
  <si>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</si>
  <si>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</si>
  <si>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</si>
  <si>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</si>
  <si>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</si>
  <si>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</si>
  <si>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</si>
  <si>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</si>
  <si>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</si>
  <si>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</si>
  <si>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</si>
  <si>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</si>
  <si>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</si>
  <si>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</si>
  <si>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</si>
  <si>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</si>
  <si>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</si>
  <si>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</si>
  <si>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</si>
  <si>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</si>
  <si>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</si>
  <si>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</si>
  <si>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</si>
  <si>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</si>
  <si>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</si>
  <si>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</si>
  <si>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</si>
  <si>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</si>
  <si>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</si>
  <si>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</si>
  <si>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</si>
  <si>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</si>
  <si>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</si>
  <si>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</si>
  <si>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</si>
  <si>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</si>
  <si>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</si>
  <si>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</si>
  <si>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</si>
  <si>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</si>
  <si>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</si>
  <si>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</si>
  <si>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</si>
  <si>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</si>
  <si>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</si>
  <si>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</si>
  <si>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</si>
  <si>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</si>
  <si>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</si>
  <si>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</si>
  <si>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</si>
  <si>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</si>
  <si>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</si>
  <si>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</si>
  <si>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</si>
  <si>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</si>
  <si>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</si>
  <si>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</si>
  <si>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</si>
  <si>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</si>
  <si>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</si>
  <si>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</si>
  <si>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</si>
  <si>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</si>
  <si>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</si>
  <si>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</si>
  <si>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</si>
  <si>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</si>
  <si>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</si>
  <si>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</si>
  <si>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</si>
  <si>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</si>
  <si>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</si>
  <si>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</si>
  <si>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</si>
  <si>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</si>
  <si>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</si>
  <si>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</si>
  <si>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</si>
  <si>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</si>
  <si>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</si>
  <si>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</si>
  <si>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</si>
  <si>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</si>
  <si>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</si>
  <si>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</si>
  <si>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</si>
  <si>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</si>
  <si>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</si>
  <si>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</si>
  <si>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</si>
  <si>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</si>
  <si>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</si>
  <si>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</si>
  <si>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</si>
  <si>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</si>
  <si>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</si>
  <si>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</si>
  <si>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</si>
  <si>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</si>
  <si>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</si>
  <si>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</si>
  <si>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</si>
  <si>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</si>
  <si>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</si>
  <si>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</si>
  <si>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</si>
  <si>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</si>
  <si>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</si>
  <si>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</si>
  <si>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</si>
  <si>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</si>
  <si>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</si>
  <si>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</si>
  <si>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</si>
  <si>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</si>
  <si>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</si>
  <si>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</si>
  <si>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</si>
  <si>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</si>
  <si>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</si>
  <si>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</si>
  <si>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</si>
  <si>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</si>
  <si>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</si>
  <si>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</si>
  <si>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</si>
  <si>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</si>
  <si>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</si>
  <si>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</si>
  <si>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</si>
  <si>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</si>
  <si>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</si>
  <si>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</si>
  <si>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</si>
  <si>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</si>
  <si>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</si>
  <si>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</si>
  <si>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</si>
  <si>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</si>
  <si>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</si>
  <si>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</si>
  <si>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</si>
  <si>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</si>
  <si>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</si>
  <si>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</si>
  <si>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</si>
  <si>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</si>
  <si>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</si>
  <si>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</si>
  <si>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</si>
  <si>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</si>
  <si>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</si>
  <si>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</si>
  <si>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</si>
  <si>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</si>
  <si>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</si>
  <si>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</si>
  <si>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</si>
  <si>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</si>
  <si>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</si>
  <si>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</si>
  <si>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</si>
  <si>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</si>
  <si>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</si>
  <si>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</si>
  <si>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</si>
  <si>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</si>
  <si>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</si>
  <si>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</si>
  <si>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</si>
  <si>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</si>
  <si>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</si>
  <si>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</si>
  <si>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</si>
  <si>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</si>
  <si>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</si>
  <si>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</si>
  <si>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</si>
  <si>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</si>
  <si>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</si>
  <si>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</si>
  <si>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</si>
  <si>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</si>
  <si>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</si>
  <si>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</si>
  <si>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</si>
  <si>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</si>
  <si>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</si>
  <si>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</si>
  <si>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</si>
  <si>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</si>
  <si>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</si>
  <si>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</si>
  <si>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</si>
  <si>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</si>
  <si>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</si>
  <si>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</si>
  <si>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</si>
  <si>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</si>
  <si>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</si>
  <si>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</si>
  <si>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</si>
  <si>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</si>
  <si>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</si>
  <si>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</si>
  <si>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</si>
  <si>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</si>
  <si>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</si>
  <si>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</si>
  <si>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</si>
  <si>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</si>
  <si>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</si>
  <si>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</si>
  <si>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</si>
  <si>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</si>
  <si>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</si>
  <si>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</si>
  <si>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</si>
  <si>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</si>
  <si>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</si>
  <si>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</si>
  <si>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</si>
  <si>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</si>
  <si>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</si>
  <si>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</si>
  <si>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</si>
  <si>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</si>
  <si>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</si>
  <si>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</si>
  <si>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</si>
  <si>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</si>
  <si>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</si>
  <si>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</si>
  <si>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</si>
  <si>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</si>
  <si>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</si>
  <si>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</si>
  <si>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</si>
  <si>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</si>
  <si>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</si>
  <si>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</si>
  <si>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</si>
  <si>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</si>
  <si>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</si>
  <si>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</si>
  <si>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</si>
  <si>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</si>
  <si>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</si>
  <si>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</si>
  <si>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</si>
  <si>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</si>
  <si>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</si>
  <si>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</si>
  <si>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</si>
  <si>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</si>
  <si>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</si>
  <si>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</si>
  <si>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</si>
  <si>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</si>
  <si>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</si>
  <si>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</si>
  <si>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</si>
  <si>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</si>
  <si>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</si>
  <si>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</si>
  <si>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</si>
  <si>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</si>
  <si>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</si>
  <si>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</si>
  <si>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</si>
  <si>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</si>
  <si>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</si>
  <si>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</si>
  <si>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</si>
  <si>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</si>
  <si>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</si>
  <si>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</si>
  <si>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</si>
  <si>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</si>
  <si>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</si>
  <si>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</si>
  <si>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</si>
  <si>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</si>
  <si>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</si>
  <si>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</si>
  <si>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</si>
  <si>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</si>
  <si>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</si>
  <si>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</si>
  <si>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</si>
  <si>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</si>
  <si>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</si>
  <si>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</si>
  <si>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</si>
  <si>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</si>
  <si>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</si>
  <si>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</si>
  <si>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</si>
  <si>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</si>
  <si>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</si>
  <si>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</si>
  <si>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</si>
  <si>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</si>
  <si>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</si>
  <si>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</si>
  <si>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</si>
  <si>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</si>
  <si>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</si>
  <si>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</si>
  <si>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</si>
  <si>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</si>
  <si>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</si>
  <si>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</si>
  <si>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</si>
  <si>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</si>
  <si>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</si>
  <si>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</si>
  <si>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</si>
  <si>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</si>
  <si>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</si>
  <si>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</si>
  <si>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</si>
  <si>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</si>
  <si>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</si>
  <si>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</si>
  <si>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</si>
  <si>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</si>
  <si>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</si>
  <si>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</si>
  <si>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</si>
  <si>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</si>
  <si>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</si>
  <si>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</si>
  <si>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</si>
  <si>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</si>
  <si>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</si>
  <si>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</si>
  <si>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</si>
  <si>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</si>
  <si>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</si>
  <si>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</si>
  <si>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</si>
  <si>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</si>
  <si>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</si>
  <si>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</si>
  <si>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</si>
  <si>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</si>
  <si>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</si>
  <si>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</si>
  <si>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</si>
  <si>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</si>
  <si>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</si>
  <si>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</si>
  <si>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</si>
  <si>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</si>
  <si>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</si>
  <si>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</si>
  <si>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</si>
  <si>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</si>
  <si>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</si>
  <si>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</si>
  <si>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</si>
  <si>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</si>
  <si>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</si>
  <si>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</si>
  <si>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</si>
  <si>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</si>
  <si>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</si>
  <si>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</si>
  <si>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</si>
  <si>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</si>
  <si>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</si>
  <si>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</si>
  <si>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</si>
  <si>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</si>
  <si>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</si>
  <si>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</si>
  <si>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</si>
  <si>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</si>
  <si>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</si>
  <si>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</si>
  <si>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</si>
  <si>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</si>
  <si>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</si>
  <si>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</si>
  <si>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</si>
  <si>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</si>
  <si>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</si>
  <si>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</si>
  <si>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</si>
  <si>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</si>
  <si>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</si>
  <si>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</si>
  <si>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</si>
  <si>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</si>
  <si>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</si>
  <si>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</si>
  <si>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</si>
  <si>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</si>
  <si>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</si>
  <si>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</si>
  <si>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</si>
  <si>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</si>
  <si>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</si>
  <si>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</si>
  <si>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</si>
  <si>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</si>
  <si>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</si>
  <si>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</si>
  <si>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</si>
  <si>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</si>
  <si>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</si>
  <si>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</si>
  <si>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</si>
  <si>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</si>
  <si>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</si>
  <si>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</si>
  <si>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</si>
  <si>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</si>
  <si>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</si>
  <si>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</si>
  <si>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</si>
  <si>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</si>
  <si>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</si>
  <si>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</si>
  <si>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</si>
  <si>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</si>
  <si>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</si>
  <si>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</si>
  <si>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</si>
  <si>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</si>
  <si>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</si>
  <si>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</si>
  <si>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</si>
  <si>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</si>
  <si>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</si>
  <si>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</si>
  <si>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</si>
  <si>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</si>
  <si>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</si>
  <si>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</si>
  <si>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</si>
  <si>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</si>
  <si>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</si>
  <si>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</si>
  <si>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</si>
  <si>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</si>
  <si>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</si>
  <si>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</si>
  <si>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</si>
  <si>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</si>
  <si>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</si>
  <si>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</si>
  <si>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</si>
  <si>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</si>
  <si>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</si>
  <si>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</si>
  <si>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</si>
  <si>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</si>
  <si>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</si>
  <si>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</si>
  <si>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</si>
  <si>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</si>
  <si>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</si>
  <si>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</si>
  <si>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</si>
  <si>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</si>
  <si>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</si>
  <si>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</si>
  <si>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</si>
  <si>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</si>
  <si>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</si>
  <si>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</si>
  <si>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</si>
  <si>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</si>
  <si>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</si>
  <si>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</si>
  <si>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</si>
  <si>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</si>
  <si>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</si>
  <si>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</si>
  <si>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</si>
  <si>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</si>
  <si>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</si>
  <si>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</si>
  <si>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</si>
  <si>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</si>
  <si>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</si>
  <si>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</si>
  <si>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</si>
  <si>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</si>
  <si>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</si>
  <si>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</si>
  <si>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</si>
  <si>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</si>
  <si>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</si>
  <si>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</si>
  <si>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</si>
  <si>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</si>
  <si>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</si>
  <si>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</si>
  <si>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</si>
  <si>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</si>
  <si>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</si>
  <si>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</si>
  <si>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</si>
  <si>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</si>
  <si>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</si>
  <si>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</si>
  <si>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</si>
  <si>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</si>
  <si>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</si>
  <si>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</si>
  <si>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</si>
  <si>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</si>
  <si>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</si>
  <si>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</si>
  <si>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</si>
  <si>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</si>
  <si>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</si>
  <si>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</si>
  <si>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</si>
  <si>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</si>
  <si>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</si>
  <si>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</si>
  <si>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</si>
  <si>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</si>
  <si>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</si>
  <si>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</si>
  <si>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</si>
  <si>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</si>
  <si>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</si>
  <si>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</si>
  <si>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</si>
  <si>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</si>
  <si>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</si>
  <si>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</si>
  <si>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</si>
  <si>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</si>
  <si>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</si>
  <si>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</si>
  <si>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</si>
  <si>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</si>
  <si>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</si>
  <si>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</si>
  <si>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</si>
  <si>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</si>
  <si>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</si>
  <si>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</si>
  <si>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</si>
  <si>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</si>
  <si>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</si>
  <si>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</si>
  <si>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</si>
  <si>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</si>
  <si>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</si>
  <si>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</si>
  <si>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</si>
  <si>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</si>
  <si>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</si>
  <si>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</si>
  <si>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</si>
  <si>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</si>
  <si>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</si>
  <si>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</si>
  <si>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</si>
  <si>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</si>
  <si>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</si>
  <si>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</si>
  <si>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</si>
  <si>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</si>
  <si>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</si>
  <si>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</si>
  <si>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</si>
  <si>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</si>
  <si>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</si>
  <si>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</si>
  <si>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</si>
  <si>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</si>
  <si>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</si>
  <si>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</si>
  <si>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</si>
  <si>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</si>
  <si>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</si>
  <si>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</si>
  <si>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</si>
  <si>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</si>
  <si>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</si>
  <si>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</si>
  <si>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</si>
  <si>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</si>
  <si>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</si>
  <si>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</si>
  <si>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</si>
  <si>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</si>
  <si>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</si>
  <si>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</si>
  <si>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</si>
  <si>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</si>
  <si>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</si>
  <si>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</si>
  <si>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</si>
  <si>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</si>
  <si>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</si>
  <si>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</si>
  <si>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</si>
  <si>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</si>
  <si>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</si>
  <si>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</si>
  <si>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</si>
  <si>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</si>
  <si>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</si>
  <si>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</si>
  <si>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</si>
  <si>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</si>
  <si>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</si>
  <si>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</si>
  <si>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</si>
  <si>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</si>
  <si>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</si>
  <si>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</si>
  <si>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</si>
  <si>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</si>
  <si>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</si>
  <si>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</si>
  <si>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</si>
  <si>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</si>
  <si>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</si>
  <si>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</si>
  <si>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</si>
  <si>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</si>
  <si>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</si>
  <si>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</si>
  <si>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</si>
  <si>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</si>
  <si>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</si>
  <si>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</si>
  <si>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</si>
  <si>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</si>
  <si>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</si>
  <si>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</si>
  <si>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</si>
  <si>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</si>
  <si>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</si>
  <si>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</si>
  <si>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</si>
  <si>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</si>
  <si>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</si>
  <si>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</si>
  <si>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</si>
  <si>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</si>
  <si>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</si>
  <si>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</si>
  <si>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</si>
  <si>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</si>
  <si>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</si>
  <si>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</si>
  <si>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</si>
  <si>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</si>
  <si>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</si>
  <si>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</si>
  <si>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</si>
  <si>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</si>
  <si>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</si>
  <si>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</si>
  <si>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</si>
  <si>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</si>
  <si>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</si>
  <si>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</si>
  <si>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</si>
  <si>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</si>
  <si>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</si>
  <si>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</si>
  <si>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</si>
  <si>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</si>
  <si>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</si>
  <si>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</si>
  <si>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</si>
  <si>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</si>
  <si>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</si>
  <si>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</si>
  <si>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</si>
  <si>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</si>
  <si>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</si>
  <si>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</si>
  <si>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</si>
  <si>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</si>
  <si>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</si>
  <si>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</si>
  <si>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</si>
  <si>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</si>
  <si>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</si>
  <si>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</si>
  <si>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</si>
  <si>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</si>
  <si>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</si>
  <si>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</si>
  <si>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</si>
  <si>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</si>
  <si>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</si>
  <si>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</si>
  <si>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</si>
  <si>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</si>
  <si>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</si>
  <si>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</si>
  <si>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</si>
  <si>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</si>
  <si>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</si>
  <si>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</si>
  <si>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</si>
  <si>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</si>
  <si>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</si>
  <si>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</si>
  <si>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</si>
  <si>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</si>
  <si>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</si>
  <si>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</si>
  <si>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</si>
  <si>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</si>
  <si>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</si>
  <si>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</si>
  <si>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</si>
  <si>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</si>
  <si>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</si>
  <si>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</si>
  <si>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</si>
  <si>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</si>
  <si>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</si>
  <si>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</si>
  <si>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</si>
  <si>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</si>
  <si>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</si>
  <si>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</si>
  <si>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</si>
  <si>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</si>
  <si>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</si>
  <si>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</si>
  <si>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</si>
  <si>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</si>
  <si>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</si>
  <si>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</si>
  <si>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</si>
  <si>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</si>
  <si>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</si>
  <si>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</si>
  <si>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</si>
  <si>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</si>
  <si>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</si>
  <si>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</si>
  <si>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</si>
  <si>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</si>
  <si>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</si>
  <si>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</si>
  <si>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</si>
  <si>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</si>
  <si>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</si>
  <si>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</si>
  <si>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</si>
  <si>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</si>
  <si>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</si>
  <si>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</si>
  <si>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</si>
  <si>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</si>
  <si>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</si>
  <si>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</si>
  <si>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</si>
  <si>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</si>
  <si>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</si>
  <si>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</si>
  <si>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</si>
  <si>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</si>
  <si>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</si>
  <si>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</si>
  <si>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</si>
  <si>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</si>
  <si>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</si>
  <si>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</si>
  <si>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</si>
  <si>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</si>
  <si>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</si>
  <si>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</si>
  <si>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</si>
  <si>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</si>
  <si>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</si>
  <si>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</si>
  <si>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</si>
  <si>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</si>
  <si>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</si>
  <si>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</si>
  <si>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</si>
  <si>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</si>
  <si>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</si>
  <si>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</si>
  <si>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</si>
  <si>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</si>
  <si>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</si>
  <si>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</si>
  <si>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</si>
  <si>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</si>
  <si>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</si>
  <si>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</si>
  <si>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</si>
  <si>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</si>
  <si>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</si>
  <si>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</si>
  <si>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</si>
  <si>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</si>
  <si>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</si>
  <si>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</si>
  <si>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</si>
  <si>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</si>
  <si>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</si>
  <si>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</si>
  <si>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</si>
  <si>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</si>
  <si>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</si>
  <si>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</si>
  <si>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</si>
  <si>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</si>
  <si>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</si>
  <si>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</si>
  <si>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</si>
  <si>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</si>
  <si>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</si>
  <si>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</si>
  <si>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</si>
  <si>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</si>
  <si>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</si>
  <si>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</si>
  <si>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</si>
  <si>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</si>
  <si>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</si>
  <si>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</si>
  <si>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</si>
  <si>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</si>
  <si>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</si>
  <si>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</si>
  <si>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</si>
  <si>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</si>
  <si>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</si>
  <si>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</si>
  <si>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</si>
  <si>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</si>
  <si>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</si>
  <si>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</si>
  <si>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</si>
  <si>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</si>
  <si>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</si>
  <si>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</si>
  <si>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</si>
  <si>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</si>
  <si>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</si>
  <si>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</si>
  <si>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</si>
  <si>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</si>
  <si>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</si>
  <si>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</si>
  <si>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</si>
  <si>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</si>
  <si>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</si>
  <si>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</si>
  <si>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</si>
  <si>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</si>
  <si>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</si>
  <si>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</si>
  <si>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</si>
  <si>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</si>
  <si>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</si>
  <si>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</si>
  <si>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</si>
  <si>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</si>
  <si>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</si>
  <si>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</si>
  <si>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</si>
  <si>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</si>
  <si>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</si>
  <si>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</si>
  <si>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</si>
  <si>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</si>
  <si>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</si>
  <si>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</si>
  <si>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</si>
  <si>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</si>
  <si>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</si>
  <si>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</si>
  <si>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</si>
  <si>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</si>
  <si>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</si>
  <si>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</si>
  <si>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</si>
  <si>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</si>
  <si>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</si>
  <si>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</si>
  <si>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</si>
  <si>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</si>
  <si>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</si>
  <si>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</si>
  <si>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</si>
  <si>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</si>
  <si>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</si>
  <si>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</si>
  <si>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</si>
  <si>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</si>
  <si>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</si>
  <si>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</si>
  <si>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</si>
  <si>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</si>
  <si>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</si>
  <si>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</si>
  <si>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</si>
  <si>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</si>
  <si>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</si>
  <si>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</si>
  <si>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</si>
  <si>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</si>
  <si>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</si>
  <si>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</si>
  <si>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</si>
  <si>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</si>
  <si>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</si>
  <si>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</si>
  <si>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</si>
  <si>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</si>
  <si>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</si>
  <si>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</si>
  <si>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</si>
  <si>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</si>
  <si>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</si>
  <si>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</si>
  <si>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</si>
  <si>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</si>
  <si>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</si>
  <si>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</si>
  <si>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</si>
  <si>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</si>
  <si>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</si>
  <si>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</si>
  <si>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</si>
  <si>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</si>
  <si>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</si>
  <si>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</si>
  <si>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</si>
  <si>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</si>
  <si>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</si>
  <si>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</si>
  <si>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</si>
  <si>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</si>
  <si>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</si>
  <si>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</si>
  <si>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</si>
  <si>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</si>
  <si>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</si>
  <si>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</si>
  <si>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</si>
  <si>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</si>
  <si>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</si>
  <si>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</si>
  <si>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</si>
  <si>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</si>
  <si>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</si>
  <si>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</si>
  <si>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</si>
  <si>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</si>
  <si>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</si>
  <si>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</si>
  <si>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</si>
  <si>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</si>
  <si>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</si>
  <si>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</si>
  <si>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</si>
  <si>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</si>
  <si>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</si>
  <si>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</si>
  <si>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</si>
  <si>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</si>
  <si>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</si>
  <si>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</si>
  <si>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</si>
  <si>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</si>
  <si>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</si>
  <si>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</si>
  <si>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</si>
  <si>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</si>
  <si>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</si>
  <si>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</si>
  <si>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</si>
  <si>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</si>
  <si>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</si>
  <si>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</si>
  <si>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</si>
  <si>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</si>
  <si>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</si>
  <si>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</si>
  <si>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</si>
  <si>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</si>
  <si>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</si>
  <si>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</si>
  <si>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</si>
  <si>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</si>
  <si>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</si>
  <si>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</si>
  <si>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</si>
  <si>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</si>
  <si>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</si>
  <si>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</si>
  <si>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</si>
  <si>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</si>
  <si>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</si>
  <si>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</si>
  <si>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</si>
  <si>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</si>
  <si>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</si>
  <si>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</si>
  <si>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</si>
  <si>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</si>
  <si>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</si>
  <si>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</si>
  <si>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</si>
  <si>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</si>
  <si>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</si>
  <si>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</si>
  <si>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</si>
  <si>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</si>
  <si>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</si>
  <si>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</si>
  <si>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</si>
  <si>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</si>
  <si>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</si>
  <si>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</si>
  <si>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</si>
  <si>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</si>
  <si>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</si>
  <si>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</si>
  <si>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</si>
  <si>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</si>
  <si>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</si>
  <si>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</si>
  <si>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</si>
  <si>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</si>
  <si>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</si>
  <si>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</si>
  <si>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</si>
  <si>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</si>
  <si>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</si>
  <si>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</si>
  <si>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</si>
  <si>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</si>
  <si>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</si>
  <si>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</si>
  <si>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</si>
  <si>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</si>
  <si>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</si>
  <si>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</si>
  <si>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</si>
  <si>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</si>
  <si>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</si>
  <si>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</si>
  <si>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</si>
  <si>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</si>
  <si>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</si>
  <si>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</si>
  <si>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</si>
  <si>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</si>
  <si>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</si>
  <si>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</si>
  <si>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</si>
  <si>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</si>
  <si>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</si>
  <si>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</si>
  <si>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</si>
  <si>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</si>
  <si>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</si>
  <si>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</si>
  <si>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</si>
  <si>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</si>
  <si>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</si>
  <si>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</si>
  <si>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</si>
  <si>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</si>
  <si>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</si>
  <si>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</si>
  <si>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</si>
  <si>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</si>
  <si>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</si>
  <si>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</si>
  <si>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</si>
  <si>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</si>
  <si>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</si>
  <si>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</si>
  <si>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</si>
  <si>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</si>
  <si>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</si>
  <si>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</si>
  <si>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</si>
  <si>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</si>
  <si>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</si>
  <si>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</si>
  <si>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</si>
  <si>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</si>
  <si>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</si>
  <si>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</si>
  <si>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</si>
  <si>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</si>
  <si>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</si>
  <si>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</si>
  <si>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</si>
  <si>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</si>
  <si>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</si>
  <si>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</si>
  <si>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</si>
  <si>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</si>
  <si>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</si>
  <si>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</si>
  <si>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</si>
  <si>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</si>
  <si>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</si>
  <si>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</si>
  <si>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</si>
  <si>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</si>
  <si>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</si>
  <si>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</si>
  <si>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</si>
  <si>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</si>
  <si>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</si>
  <si>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</si>
  <si>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</si>
  <si>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</si>
  <si>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</si>
  <si>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</si>
  <si>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</si>
  <si>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</si>
  <si>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</si>
  <si>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</si>
  <si>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</si>
  <si>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</si>
  <si>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</si>
  <si>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</si>
  <si>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</si>
  <si>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</si>
  <si>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</si>
  <si>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</si>
  <si>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</si>
  <si>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</si>
  <si>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</si>
  <si>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</si>
  <si>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</si>
  <si>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</si>
  <si>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</si>
  <si>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</si>
  <si>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</si>
  <si>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</si>
  <si>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</si>
  <si>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</si>
  <si>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</si>
  <si>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</si>
  <si>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</si>
  <si>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</si>
  <si>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</si>
  <si>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</si>
  <si>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</si>
  <si>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</si>
  <si>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</si>
  <si>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</si>
  <si>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</si>
  <si>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</si>
  <si>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</si>
  <si>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</si>
  <si>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</si>
  <si>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</si>
  <si>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</si>
  <si>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</si>
  <si>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</si>
  <si>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</si>
  <si>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</si>
  <si>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</si>
  <si>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</si>
  <si>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</si>
  <si>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</si>
  <si>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</si>
  <si>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</si>
  <si>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</si>
  <si>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</si>
  <si>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</si>
  <si>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</si>
  <si>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</si>
  <si>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</si>
  <si>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</si>
  <si>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</si>
  <si>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</si>
  <si>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</si>
  <si>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</si>
  <si>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</si>
  <si>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</si>
  <si>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</si>
  <si>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</si>
  <si>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</si>
  <si>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</si>
  <si>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</si>
  <si>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</si>
  <si>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</si>
  <si>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</si>
  <si>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</si>
  <si>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</si>
  <si>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</si>
  <si>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</si>
  <si>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</si>
  <si>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</si>
  <si>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</si>
  <si>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</si>
  <si>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</si>
  <si>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</si>
  <si>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</si>
  <si>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</si>
  <si>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</si>
  <si>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</si>
  <si>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</si>
  <si>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</si>
  <si>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</si>
  <si>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</si>
  <si>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</si>
  <si>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</si>
  <si>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</si>
  <si>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</si>
  <si>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</si>
  <si>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</si>
  <si>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</si>
  <si>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</si>
  <si>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</si>
  <si>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</si>
  <si>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</si>
  <si>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</si>
  <si>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</si>
  <si>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</si>
  <si>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</si>
  <si>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</si>
  <si>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</si>
  <si>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</si>
  <si>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</si>
  <si>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</si>
  <si>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</si>
  <si>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</si>
  <si>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</si>
  <si>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</si>
  <si>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</si>
  <si>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</si>
  <si>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</si>
  <si>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</si>
  <si>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</si>
  <si>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</si>
  <si>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</si>
  <si>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</si>
  <si>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</si>
  <si>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</si>
  <si>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</si>
  <si>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</si>
  <si>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</si>
  <si>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</si>
  <si>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</si>
  <si>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</si>
  <si>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</si>
  <si>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</si>
  <si>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</si>
  <si>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</si>
  <si>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</si>
  <si>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</si>
  <si>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</si>
  <si>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</si>
  <si>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</si>
  <si>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</si>
  <si>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</si>
  <si>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</si>
  <si>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</si>
  <si>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</si>
  <si>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</si>
  <si>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</si>
  <si>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</si>
  <si>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</si>
  <si>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</si>
  <si>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</si>
  <si>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</si>
  <si>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</si>
  <si>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</si>
  <si>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</si>
  <si>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</si>
  <si>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</si>
  <si>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</si>
  <si>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</si>
  <si>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</si>
  <si>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</si>
  <si>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</si>
  <si>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</si>
  <si>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</si>
  <si>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</si>
  <si>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</si>
  <si>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</si>
  <si>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</si>
  <si>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</si>
  <si>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</si>
  <si>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</si>
  <si>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</si>
  <si>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</si>
  <si>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</si>
  <si>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</si>
  <si>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</si>
  <si>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</si>
  <si>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</si>
  <si>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</si>
  <si>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</si>
  <si>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</si>
  <si>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</si>
  <si>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</si>
  <si>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</si>
  <si>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</si>
  <si>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</si>
  <si>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</si>
  <si>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</si>
  <si>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</si>
  <si>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</si>
  <si>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</si>
  <si>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</si>
  <si>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</si>
  <si>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</si>
  <si>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</si>
  <si>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</si>
  <si>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</si>
  <si>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</si>
  <si>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</si>
  <si>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</si>
  <si>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</si>
  <si>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</si>
  <si>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</si>
  <si>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</si>
  <si>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</si>
  <si>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</si>
  <si>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</si>
  <si>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</si>
  <si>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</si>
  <si>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</si>
  <si>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</si>
  <si>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</si>
  <si>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</si>
  <si>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</si>
  <si>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</si>
  <si>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</si>
  <si>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</si>
  <si>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</si>
  <si>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</si>
  <si>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</si>
  <si>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</si>
  <si>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</si>
  <si>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</si>
  <si>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</si>
  <si>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</si>
  <si>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</si>
  <si>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</si>
  <si>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</si>
  <si>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</si>
  <si>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</si>
  <si>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</si>
  <si>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</si>
  <si>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</si>
  <si>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</si>
  <si>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</si>
  <si>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</si>
  <si>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</si>
  <si>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</si>
  <si>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</si>
  <si>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</si>
  <si>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</si>
  <si>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</si>
  <si>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</si>
  <si>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</si>
  <si>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</si>
  <si>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</si>
  <si>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</si>
  <si>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</si>
  <si>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</si>
  <si>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</si>
  <si>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</si>
  <si>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</si>
  <si>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</si>
  <si>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</si>
  <si>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</si>
  <si>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</si>
  <si>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</si>
  <si>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</si>
  <si>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</si>
  <si>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</si>
  <si>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</si>
  <si>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</si>
  <si>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</si>
  <si>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</si>
  <si>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</si>
  <si>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</si>
  <si>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</si>
  <si>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</si>
  <si>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</si>
  <si>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</si>
  <si>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</si>
  <si>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</si>
  <si>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</si>
  <si>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</si>
  <si>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</si>
  <si>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</si>
  <si>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</si>
  <si>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</si>
  <si>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</si>
  <si>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</si>
  <si>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</si>
  <si>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</si>
  <si>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</si>
  <si>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</si>
  <si>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</si>
  <si>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</si>
  <si>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</si>
  <si>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</si>
  <si>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</si>
  <si>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</si>
  <si>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</si>
  <si>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</si>
  <si>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</si>
  <si>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</si>
  <si>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</si>
  <si>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</si>
  <si>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</si>
  <si>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</si>
  <si>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</si>
  <si>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</si>
  <si>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</si>
  <si>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</si>
  <si>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</si>
  <si>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</si>
  <si>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</si>
  <si>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</si>
  <si>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</si>
  <si>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</si>
  <si>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</si>
  <si>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</si>
  <si>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</si>
  <si>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</si>
  <si>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</si>
  <si>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</si>
  <si>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</si>
  <si>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</si>
  <si>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</si>
  <si>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</si>
  <si>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</si>
  <si>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</si>
  <si>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</si>
  <si>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</si>
  <si>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</si>
  <si>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</si>
  <si>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</si>
  <si>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</si>
  <si>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</si>
  <si>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</si>
  <si>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</si>
  <si>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</si>
  <si>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</si>
  <si>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</si>
  <si>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</si>
  <si>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</si>
  <si>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</si>
  <si>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</si>
  <si>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</si>
  <si>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</si>
  <si>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</si>
  <si>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</si>
  <si>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</si>
  <si>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</si>
  <si>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</si>
  <si>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</si>
  <si>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</si>
  <si>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</si>
  <si>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</si>
  <si>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</si>
  <si>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</si>
  <si>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</si>
  <si>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</si>
  <si>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</si>
  <si>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</si>
  <si>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</si>
  <si>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</si>
  <si>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</si>
  <si>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</si>
  <si>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</si>
  <si>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</si>
  <si>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</si>
  <si>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</si>
  <si>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</si>
  <si>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</si>
  <si>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</si>
  <si>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</si>
  <si>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</si>
  <si>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</si>
  <si>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</si>
  <si>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</si>
  <si>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</si>
  <si>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</si>
  <si>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</si>
  <si>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</si>
  <si>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</si>
  <si>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</si>
  <si>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</si>
  <si>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</si>
  <si>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</si>
  <si>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</si>
  <si>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</si>
  <si>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</si>
  <si>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</si>
  <si>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</si>
  <si>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</si>
  <si>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</si>
  <si>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</si>
  <si>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</si>
  <si>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</si>
  <si>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</si>
  <si>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</si>
  <si>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</si>
  <si>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</si>
  <si>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</si>
  <si>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</si>
  <si>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</si>
  <si>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</si>
  <si>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</si>
  <si>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</si>
  <si>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</si>
  <si>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</si>
  <si>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</si>
  <si>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</si>
  <si>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</si>
  <si>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</si>
  <si>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</si>
  <si>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</si>
  <si>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</si>
  <si>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</si>
  <si>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</si>
  <si>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</si>
  <si>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</si>
  <si>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</si>
  <si>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</si>
  <si>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</si>
  <si>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</si>
  <si>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</si>
  <si>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</si>
  <si>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</si>
  <si>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</si>
  <si>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</si>
  <si>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</si>
  <si>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</si>
  <si>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</si>
  <si>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</si>
  <si>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</si>
  <si>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</si>
  <si>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</si>
  <si>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</si>
  <si>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</si>
  <si>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</si>
  <si>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</si>
  <si>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</si>
  <si>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</si>
  <si>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</si>
  <si>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</si>
  <si>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</si>
  <si>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</si>
  <si>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</si>
  <si>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</si>
  <si>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</si>
  <si>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</si>
  <si>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</si>
  <si>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</si>
  <si>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</si>
  <si>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</si>
  <si>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</si>
  <si>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</si>
  <si>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</si>
  <si>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</si>
  <si>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</si>
  <si>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</si>
  <si>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</si>
  <si>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</si>
  <si>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</si>
  <si>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</si>
  <si>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</si>
  <si>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</si>
  <si>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</si>
  <si>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</si>
  <si>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</si>
  <si>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</si>
  <si>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</si>
  <si>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</si>
  <si>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</si>
  <si>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</si>
  <si>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</si>
  <si>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</si>
  <si>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</si>
  <si>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</si>
  <si>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</si>
  <si>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</si>
  <si>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</si>
  <si>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</si>
  <si>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</si>
  <si>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</si>
  <si>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</si>
  <si>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</si>
  <si>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</si>
  <si>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</si>
  <si>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</si>
  <si>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</si>
  <si>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</si>
  <si>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</si>
  <si>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</si>
  <si>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</si>
  <si>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</si>
  <si>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</si>
  <si>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</si>
  <si>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</si>
  <si>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</si>
  <si>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</si>
  <si>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</si>
  <si>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</si>
  <si>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</si>
  <si>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</si>
  <si>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</si>
  <si>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</si>
  <si>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</si>
  <si>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</si>
  <si>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</si>
  <si>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</si>
  <si>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</si>
  <si>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</si>
  <si>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</si>
  <si>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</si>
  <si>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</si>
  <si>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</si>
  <si>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</si>
  <si>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</si>
  <si>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</si>
  <si>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</si>
  <si>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</si>
  <si>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</si>
  <si>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</si>
  <si>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</si>
  <si>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</si>
  <si>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</si>
  <si>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</si>
  <si>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</si>
  <si>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</si>
  <si>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</si>
  <si>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</si>
  <si>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</si>
  <si>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</si>
  <si>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</si>
  <si>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</si>
  <si>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</si>
  <si>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</si>
  <si>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</si>
  <si>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</si>
  <si>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</si>
  <si>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</si>
  <si>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</si>
  <si>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</si>
  <si>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</si>
  <si>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</si>
  <si>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</si>
  <si>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</si>
  <si>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</si>
  <si>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</si>
  <si>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</si>
  <si>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</si>
  <si>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</si>
  <si>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</si>
  <si>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</si>
  <si>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</si>
  <si>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</si>
  <si>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</si>
  <si>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</si>
  <si>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</si>
  <si>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</si>
  <si>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</si>
  <si>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</si>
  <si>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</si>
  <si>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</si>
  <si>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</si>
  <si>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</si>
  <si>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</si>
  <si>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</si>
  <si>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</si>
  <si>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</si>
  <si>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</si>
  <si>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</si>
  <si>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</si>
  <si>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</si>
  <si>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</si>
  <si>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</si>
  <si>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</si>
  <si>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</si>
  <si>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</si>
  <si>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</si>
  <si>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</si>
  <si>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</si>
  <si>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</si>
  <si>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</si>
  <si>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</si>
  <si>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</si>
  <si>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</si>
  <si>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</si>
  <si>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</si>
  <si>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</si>
  <si>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</si>
  <si>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</si>
  <si>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</si>
  <si>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</si>
  <si>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</si>
  <si>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</si>
  <si>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</si>
  <si>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</si>
  <si>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</si>
  <si>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</si>
  <si>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</si>
  <si>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</si>
  <si>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</si>
  <si>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</si>
  <si>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</si>
  <si>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</si>
  <si>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</si>
  <si>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</si>
  <si>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</si>
  <si>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</si>
  <si>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</si>
  <si>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</si>
  <si>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</si>
  <si>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</si>
  <si>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</si>
  <si>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</si>
  <si>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</si>
  <si>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</si>
  <si>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</si>
  <si>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</si>
  <si>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</si>
  <si>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</si>
  <si>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</si>
  <si>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</si>
  <si>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</si>
  <si>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</si>
  <si>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</si>
  <si>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</si>
  <si>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</si>
  <si>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</si>
  <si>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</si>
  <si>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</si>
  <si>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</si>
  <si>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</si>
  <si>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</si>
  <si>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</si>
  <si>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</si>
  <si>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</si>
  <si>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</si>
  <si>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</si>
  <si>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</si>
  <si>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</si>
  <si>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</si>
  <si>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</si>
  <si>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</si>
  <si>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</si>
  <si>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</si>
  <si>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</si>
  <si>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</si>
  <si>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</si>
  <si>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</si>
  <si>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</si>
  <si>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</si>
  <si>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</si>
  <si>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</si>
  <si>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</si>
  <si>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</si>
  <si>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</si>
  <si>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</si>
  <si>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</si>
  <si>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</si>
  <si>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</si>
  <si>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</si>
  <si>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</si>
  <si>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</si>
  <si>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</si>
  <si>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</si>
  <si>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</si>
  <si>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</si>
  <si>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</si>
  <si>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</si>
  <si>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</si>
  <si>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</si>
  <si>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</si>
  <si>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</si>
  <si>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</si>
  <si>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</si>
  <si>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</si>
  <si>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</si>
  <si>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</si>
  <si>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</si>
  <si>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</si>
  <si>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</si>
  <si>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</si>
  <si>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</si>
  <si>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</si>
  <si>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</si>
  <si>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</si>
  <si>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</si>
  <si>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</si>
  <si>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</si>
  <si>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</si>
  <si>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</si>
  <si>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</si>
  <si>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</si>
  <si>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</si>
  <si>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</si>
  <si>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</si>
  <si>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</si>
  <si>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</si>
  <si>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</si>
  <si>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</si>
  <si>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</si>
  <si>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</si>
  <si>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</si>
  <si>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</si>
  <si>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</si>
  <si>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</si>
  <si>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</si>
  <si>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</si>
  <si>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</si>
  <si>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</si>
  <si>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</si>
  <si>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</si>
  <si>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</si>
  <si>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</si>
  <si>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</si>
  <si>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</si>
  <si>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</si>
  <si>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</si>
  <si>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</si>
  <si>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</si>
  <si>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</si>
  <si>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</si>
  <si>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</si>
  <si>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</si>
  <si>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</si>
  <si>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</si>
  <si>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</si>
  <si>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</si>
  <si>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</si>
  <si>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</si>
  <si>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</si>
  <si>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</si>
  <si>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</si>
  <si>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</si>
  <si>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</si>
  <si>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</si>
  <si>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</si>
  <si>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</si>
  <si>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</si>
  <si>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</si>
  <si>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</si>
  <si>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</si>
  <si>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</si>
  <si>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</si>
  <si>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</si>
  <si>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</si>
  <si>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</si>
  <si>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</si>
  <si>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</si>
  <si>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</si>
  <si>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</si>
  <si>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</si>
  <si>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</si>
  <si>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</si>
  <si>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</si>
  <si>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</si>
  <si>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</si>
  <si>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</si>
  <si>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</si>
  <si>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</si>
  <si>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</si>
  <si>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</si>
  <si>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</si>
  <si>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</si>
  <si>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</si>
  <si>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</si>
  <si>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</si>
  <si>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</si>
  <si>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</si>
  <si>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</si>
  <si>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</si>
  <si>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</si>
  <si>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</si>
  <si>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</si>
  <si>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</si>
  <si>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</si>
  <si>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</si>
  <si>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</si>
  <si>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</si>
  <si>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</si>
  <si>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</si>
  <si>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</si>
  <si>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</si>
  <si>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</si>
  <si>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</si>
  <si>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</si>
  <si>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</si>
  <si>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</si>
  <si>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</si>
  <si>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</si>
  <si>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</si>
  <si>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</si>
  <si>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</si>
  <si>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</si>
  <si>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</si>
  <si>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</si>
  <si>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</si>
  <si>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</si>
  <si>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</si>
  <si>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</si>
  <si>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</si>
  <si>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</si>
  <si>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</si>
  <si>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</si>
  <si>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</si>
  <si>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</si>
  <si>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</si>
  <si>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</si>
  <si>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</si>
  <si>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</si>
  <si>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</si>
  <si>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</si>
  <si>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</si>
  <si>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</si>
  <si>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</si>
  <si>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</si>
  <si>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</si>
  <si>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</si>
  <si>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</si>
  <si>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</si>
  <si>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</si>
  <si>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</si>
  <si>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</si>
  <si>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</si>
  <si>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</si>
  <si>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</si>
  <si>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</si>
  <si>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</si>
  <si>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</si>
  <si>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</si>
  <si>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</si>
  <si>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</si>
  <si>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</si>
  <si>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</si>
  <si>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</si>
  <si>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</si>
  <si>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</si>
  <si>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</si>
  <si>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</si>
  <si>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</si>
  <si>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</si>
  <si>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</si>
  <si>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</si>
  <si>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</si>
  <si>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</si>
  <si>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</si>
  <si>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</si>
  <si>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</si>
  <si>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</si>
  <si>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</si>
  <si>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</si>
  <si>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</si>
  <si>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</si>
  <si>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</si>
  <si>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</si>
  <si>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</si>
  <si>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</si>
  <si>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</si>
  <si>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</si>
  <si>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</si>
  <si>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</si>
  <si>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</si>
  <si>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</si>
  <si>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</si>
  <si>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</si>
  <si>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</si>
  <si>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</si>
  <si>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</si>
  <si>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</si>
  <si>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</si>
  <si>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</si>
  <si>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</si>
  <si>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</si>
  <si>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</si>
  <si>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</si>
  <si>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</si>
  <si>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</si>
  <si>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</si>
  <si>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</si>
  <si>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</si>
  <si>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</si>
  <si>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</si>
  <si>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</si>
  <si>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</si>
  <si>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</si>
  <si>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</si>
  <si>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</si>
  <si>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</si>
  <si>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</si>
  <si>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</si>
  <si>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</si>
  <si>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</si>
  <si>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</si>
  <si>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</si>
  <si>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</si>
  <si>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</si>
  <si>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</si>
  <si>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</si>
  <si>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</si>
  <si>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</si>
  <si>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</si>
  <si>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</si>
  <si>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</si>
  <si>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</si>
  <si>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</si>
  <si>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</si>
  <si>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</si>
  <si>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</si>
  <si>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</si>
  <si>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</si>
  <si>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</si>
  <si>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</si>
  <si>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</si>
  <si>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</si>
  <si>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</si>
  <si>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</si>
  <si>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</si>
  <si>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</si>
  <si>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</si>
  <si>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</si>
  <si>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</si>
  <si>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</si>
  <si>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</si>
  <si>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</si>
  <si>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</si>
  <si>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</si>
  <si>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</si>
  <si>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</si>
  <si>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</si>
  <si>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</si>
  <si>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</si>
  <si>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</si>
  <si>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</si>
  <si>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</si>
  <si>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</si>
  <si>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</si>
  <si>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</si>
  <si>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</si>
  <si>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</si>
  <si>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</si>
  <si>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</si>
  <si>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</si>
  <si>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</si>
  <si>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</si>
  <si>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</si>
  <si>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</si>
  <si>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</si>
  <si>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</si>
  <si>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</si>
  <si>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</si>
  <si>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</si>
  <si>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</si>
  <si>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</si>
  <si>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</si>
  <si>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</si>
  <si>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</si>
  <si>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</si>
  <si>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</si>
  <si>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</si>
  <si>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</si>
  <si>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</si>
  <si>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</si>
  <si>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</si>
  <si>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</si>
  <si>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</si>
  <si>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</si>
  <si>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</si>
  <si>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</si>
  <si>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</si>
  <si>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</si>
  <si>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</si>
  <si>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</si>
  <si>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</si>
  <si>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</si>
  <si>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</si>
  <si>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</si>
  <si>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</si>
  <si>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</si>
  <si>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</si>
  <si>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</si>
  <si>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</si>
  <si>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</si>
  <si>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</si>
  <si>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</si>
  <si>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</si>
  <si>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</si>
  <si>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</si>
  <si>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</si>
  <si>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</si>
  <si>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</si>
  <si>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</si>
  <si>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</si>
  <si>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</si>
  <si>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</si>
  <si>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</si>
  <si>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</si>
  <si>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</si>
  <si>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</si>
  <si>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</si>
  <si>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</si>
  <si>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</si>
  <si>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</si>
  <si>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</si>
  <si>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</si>
  <si>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</si>
  <si>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</si>
  <si>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</si>
  <si>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</si>
  <si>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</si>
  <si>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</si>
  <si>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</si>
  <si>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</si>
  <si>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</si>
  <si>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</si>
  <si>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</si>
  <si>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</si>
  <si>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</si>
  <si>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</si>
  <si>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</si>
  <si>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</si>
  <si>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</si>
  <si>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</si>
  <si>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</si>
  <si>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</si>
  <si>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</si>
  <si>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</si>
  <si>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</si>
  <si>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</si>
  <si>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</si>
  <si>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</si>
  <si>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</si>
  <si>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</si>
  <si>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</si>
  <si>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</si>
  <si>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</si>
  <si>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</si>
  <si>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</si>
  <si>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</si>
  <si>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</si>
  <si>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</si>
  <si>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</si>
  <si>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</si>
  <si>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</si>
  <si>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</si>
  <si>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</si>
  <si>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</si>
  <si>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</si>
  <si>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</si>
  <si>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</si>
  <si>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</si>
  <si>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</si>
  <si>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</si>
  <si>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</si>
  <si>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</si>
  <si>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</si>
  <si>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</si>
  <si>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</si>
  <si>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</si>
  <si>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</si>
  <si>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</si>
  <si>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</si>
  <si>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</si>
  <si>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</si>
  <si>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</si>
  <si>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</si>
  <si>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</si>
  <si>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</si>
  <si>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</si>
  <si>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</si>
  <si>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</si>
  <si>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</si>
  <si>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</si>
  <si>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</si>
  <si>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</si>
  <si>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</si>
  <si>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</si>
  <si>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</si>
  <si>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</si>
  <si>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</si>
  <si>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</si>
  <si>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</si>
  <si>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</si>
  <si>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</si>
  <si>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</si>
  <si>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</si>
  <si>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</si>
  <si>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</si>
  <si>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</si>
  <si>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</si>
  <si>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</si>
  <si>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</si>
  <si>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</si>
  <si>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</si>
  <si>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</si>
  <si>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</si>
  <si>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</si>
  <si>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</si>
  <si>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</si>
  <si>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</si>
  <si>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</si>
  <si>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</si>
  <si>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</si>
  <si>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</si>
  <si>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</si>
  <si>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</si>
  <si>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</si>
  <si>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</si>
  <si>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</si>
  <si>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</si>
  <si>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</si>
  <si>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</si>
  <si>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</si>
  <si>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</si>
  <si>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</si>
  <si>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</si>
  <si>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</si>
  <si>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</si>
  <si>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</si>
  <si>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</si>
  <si>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</si>
  <si>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</si>
  <si>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</si>
  <si>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</si>
  <si>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</si>
  <si>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</si>
  <si>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</si>
  <si>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</si>
  <si>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</si>
  <si>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</si>
  <si>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</si>
  <si>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</si>
  <si>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</si>
  <si>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</si>
  <si>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</si>
  <si>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</si>
  <si>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</si>
  <si>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</si>
  <si>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</si>
  <si>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</si>
  <si>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</si>
  <si>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</si>
  <si>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</si>
  <si>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</si>
  <si>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</si>
  <si>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</si>
  <si>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</si>
  <si>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</si>
  <si>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</si>
  <si>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</si>
  <si>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</si>
  <si>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</si>
  <si>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</si>
  <si>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</si>
  <si>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</si>
  <si>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</si>
  <si>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</si>
  <si>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</si>
  <si>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</si>
  <si>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</si>
  <si>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</si>
  <si>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</si>
  <si>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</si>
  <si>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</si>
  <si>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</si>
  <si>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</si>
  <si>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</si>
  <si>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</si>
  <si>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</si>
  <si>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</si>
  <si>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</si>
  <si>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</si>
  <si>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</si>
  <si>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</si>
  <si>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</si>
  <si>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</si>
  <si>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</si>
  <si>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</si>
  <si>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</si>
  <si>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</si>
  <si>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</si>
  <si>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</si>
  <si>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</si>
  <si>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</si>
  <si>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</si>
  <si>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</si>
  <si>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</si>
  <si>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</si>
  <si>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</si>
  <si>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</si>
  <si>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</si>
  <si>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</si>
  <si>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</si>
  <si>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</si>
  <si>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</si>
  <si>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</si>
  <si>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</si>
  <si>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</si>
  <si>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</si>
  <si>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</si>
  <si>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</si>
  <si>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</si>
  <si>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</si>
  <si>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</si>
  <si>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</si>
  <si>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</si>
  <si>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</si>
  <si>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</si>
  <si>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</si>
  <si>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</si>
  <si>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</si>
  <si>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</si>
  <si>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</si>
  <si>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</si>
  <si>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</si>
  <si>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</si>
  <si>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</si>
  <si>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</si>
  <si>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</si>
  <si>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</si>
  <si>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</si>
  <si>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</si>
  <si>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</si>
  <si>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</si>
  <si>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</si>
  <si>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</si>
  <si>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</si>
  <si>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</si>
  <si>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</si>
  <si>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</si>
  <si>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</si>
  <si>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</si>
  <si>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</si>
  <si>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</si>
  <si>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</si>
  <si>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</si>
  <si>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</si>
  <si>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</si>
  <si>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</si>
  <si>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</si>
  <si>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</si>
  <si>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</si>
  <si>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</si>
  <si>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</si>
  <si>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</si>
  <si>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</si>
  <si>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</si>
  <si>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</si>
  <si>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</si>
  <si>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</si>
  <si>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</si>
  <si>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</si>
  <si>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</si>
  <si>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</si>
  <si>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</si>
  <si>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</si>
  <si>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</si>
  <si>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</si>
  <si>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</si>
  <si>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</si>
  <si>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</si>
  <si>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</si>
  <si>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</si>
  <si>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</si>
  <si>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</si>
  <si>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</si>
  <si>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</si>
  <si>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</si>
  <si>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</si>
  <si>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</si>
  <si>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</si>
  <si>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</si>
  <si>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</si>
  <si>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</si>
  <si>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</si>
  <si>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</si>
  <si>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</si>
  <si>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</si>
  <si>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</si>
  <si>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</si>
  <si>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</si>
  <si>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</si>
  <si>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</si>
  <si>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</si>
  <si>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</si>
  <si>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</si>
  <si>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</si>
  <si>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</si>
  <si>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</si>
  <si>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</si>
  <si>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</si>
  <si>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</si>
  <si>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</si>
  <si>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</si>
  <si>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</si>
  <si>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</si>
  <si>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</si>
  <si>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</si>
  <si>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</si>
  <si>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</si>
  <si>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</si>
  <si>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</si>
  <si>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</si>
  <si>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</si>
  <si>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</si>
  <si>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</si>
  <si>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</si>
  <si>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</si>
  <si>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</si>
  <si>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</si>
  <si>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</si>
  <si>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</si>
  <si>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</si>
  <si>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</si>
  <si>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</si>
  <si>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</si>
  <si>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</si>
  <si>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</si>
  <si>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</si>
  <si>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</si>
  <si>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</si>
  <si>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</si>
  <si>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</si>
  <si>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</si>
  <si>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</si>
  <si>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</si>
  <si>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</si>
  <si>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</si>
  <si>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</si>
  <si>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</si>
  <si>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</si>
  <si>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</si>
  <si>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</si>
  <si>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</si>
  <si>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</si>
  <si>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</si>
  <si>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</si>
  <si>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</si>
  <si>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</si>
  <si>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</si>
  <si>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</si>
  <si>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</si>
  <si>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</si>
  <si>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</si>
  <si>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</si>
  <si>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</si>
  <si>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</si>
  <si>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</si>
  <si>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</si>
  <si>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</si>
  <si>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</si>
  <si>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</si>
  <si>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</si>
  <si>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</si>
  <si>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</si>
  <si>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</si>
  <si>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</si>
  <si>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</si>
  <si>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</si>
  <si>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</si>
  <si>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</si>
  <si>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</si>
  <si>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</si>
  <si>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</si>
  <si>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</si>
  <si>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</si>
  <si>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</si>
  <si>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</si>
  <si>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</si>
  <si>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</si>
  <si>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</si>
  <si>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</si>
  <si>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</si>
  <si>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</si>
  <si>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</si>
  <si>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</si>
  <si>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</si>
  <si>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</si>
  <si>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</si>
  <si>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</si>
  <si>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</si>
  <si>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</si>
  <si>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</si>
  <si>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</si>
  <si>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</si>
  <si>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</si>
  <si>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</si>
  <si>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</si>
  <si>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</si>
  <si>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</si>
  <si>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</si>
  <si>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</si>
  <si>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</si>
  <si>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</si>
  <si>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</si>
  <si>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</si>
  <si>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</si>
  <si>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</si>
  <si>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</si>
  <si>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</si>
  <si>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</si>
  <si>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</si>
  <si>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</si>
  <si>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</si>
  <si>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</si>
  <si>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</si>
  <si>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</si>
  <si>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</si>
  <si>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</si>
  <si>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</si>
  <si>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</si>
  <si>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</si>
  <si>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</si>
  <si>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</si>
  <si>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</si>
  <si>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</si>
  <si>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</si>
  <si>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</si>
  <si>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</si>
  <si>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</si>
  <si>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</si>
  <si>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</si>
  <si>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</si>
  <si>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</si>
  <si>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</si>
  <si>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</si>
  <si>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</si>
  <si>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</si>
  <si>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</si>
  <si>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</si>
  <si>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</si>
  <si>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</si>
  <si>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</si>
  <si>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</si>
  <si>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</si>
  <si>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</si>
  <si>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</si>
  <si>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</si>
  <si>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</si>
  <si>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</si>
  <si>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</si>
  <si>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</si>
  <si>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</si>
  <si>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</si>
  <si>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</si>
  <si>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</si>
  <si>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</si>
  <si>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</si>
  <si>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</si>
  <si>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</si>
  <si>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</si>
  <si>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</si>
  <si>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</si>
  <si>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</si>
  <si>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</si>
  <si>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</si>
  <si>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</si>
  <si>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</si>
  <si>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</si>
  <si>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</si>
  <si>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</si>
  <si>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</si>
  <si>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</si>
  <si>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</si>
  <si>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</si>
  <si>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</si>
  <si>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</si>
  <si>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</si>
  <si>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</si>
  <si>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</si>
  <si>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</si>
  <si>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</si>
  <si>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</si>
  <si>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</si>
  <si>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</si>
  <si>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</si>
  <si>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</si>
  <si>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</si>
  <si>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</si>
  <si>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</si>
  <si>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</si>
  <si>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</si>
  <si>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</si>
  <si>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</si>
  <si>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</si>
  <si>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</si>
  <si>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</si>
  <si>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</si>
  <si>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</si>
  <si>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</si>
  <si>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</si>
  <si>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</si>
  <si>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</si>
  <si>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</si>
  <si>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</si>
  <si>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</si>
  <si>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</si>
  <si>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</si>
  <si>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</si>
  <si>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</si>
  <si>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</si>
  <si>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</si>
  <si>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</si>
  <si>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</si>
  <si>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</si>
  <si>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</si>
  <si>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</si>
  <si>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</si>
  <si>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</si>
  <si>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</si>
  <si>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</si>
  <si>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</si>
  <si>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</si>
  <si>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</si>
  <si>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</si>
  <si>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</si>
  <si>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</si>
  <si>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</si>
  <si>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</si>
  <si>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</si>
  <si>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</si>
  <si>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</si>
  <si>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</si>
  <si>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</si>
  <si>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</si>
  <si>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</si>
  <si>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</si>
  <si>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</si>
  <si>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</si>
  <si>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</si>
  <si>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</si>
  <si>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</si>
  <si>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</si>
  <si>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</si>
  <si>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</si>
  <si>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</si>
  <si>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</si>
  <si>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</si>
  <si>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</si>
  <si>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</si>
  <si>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</si>
  <si>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</si>
  <si>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</si>
  <si>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</si>
  <si>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</si>
  <si>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</si>
  <si>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</si>
  <si>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</si>
  <si>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</si>
  <si>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</si>
  <si>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</si>
  <si>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</si>
  <si>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</si>
  <si>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</si>
  <si>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</si>
  <si>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</si>
  <si>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</si>
  <si>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</si>
  <si>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</si>
  <si>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</si>
  <si>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</si>
  <si>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</si>
  <si>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</si>
  <si>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</si>
  <si>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</si>
  <si>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</si>
  <si>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</si>
  <si>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</si>
  <si>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</si>
  <si>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</si>
  <si>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</si>
  <si>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</si>
  <si>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</si>
  <si>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</si>
  <si>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</si>
  <si>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</si>
  <si>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</si>
  <si>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</si>
  <si>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</si>
  <si>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</si>
  <si>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</si>
  <si>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</si>
  <si>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</si>
  <si>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</si>
  <si>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</si>
  <si>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</si>
  <si>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</si>
  <si>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</si>
  <si>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</si>
  <si>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</si>
  <si>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</si>
  <si>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</si>
  <si>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</si>
  <si>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</si>
  <si>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</si>
  <si>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</si>
  <si>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</si>
  <si>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</si>
  <si>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</si>
  <si>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</si>
  <si>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</si>
  <si>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</si>
  <si>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</si>
  <si>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</si>
  <si>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</si>
  <si>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</si>
  <si>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</si>
  <si>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</si>
  <si>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</si>
  <si>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</si>
  <si>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</si>
  <si>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</si>
  <si>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</si>
  <si>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</si>
  <si>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</si>
  <si>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</si>
  <si>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</si>
  <si>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</si>
  <si>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</si>
  <si>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</si>
  <si>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</si>
  <si>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</si>
  <si>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</si>
  <si>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</si>
  <si>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</si>
  <si>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</si>
  <si>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</si>
  <si>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</si>
  <si>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</si>
  <si>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</si>
  <si>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</si>
  <si>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</si>
  <si>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</si>
  <si>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</si>
  <si>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</si>
  <si>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</si>
  <si>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</si>
  <si>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</si>
  <si>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</si>
  <si>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</si>
  <si>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</si>
  <si>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</si>
  <si>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</si>
  <si>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</si>
  <si>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</si>
  <si>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</si>
  <si>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</si>
  <si>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</si>
  <si>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</si>
  <si>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</si>
  <si>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</si>
  <si>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</si>
  <si>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</si>
  <si>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</si>
  <si>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</si>
  <si>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</si>
  <si>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</si>
  <si>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</si>
  <si>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</si>
  <si>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</si>
  <si>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</si>
  <si>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</si>
  <si>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</si>
  <si>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</si>
  <si>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</si>
  <si>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</si>
  <si>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</si>
  <si>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</si>
  <si>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</si>
  <si>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</si>
  <si>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</si>
  <si>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</si>
  <si>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</si>
  <si>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</si>
  <si>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</si>
  <si>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</si>
  <si>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</si>
  <si>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</si>
  <si>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</si>
  <si>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</si>
  <si>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</si>
  <si>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</si>
  <si>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</si>
  <si>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</si>
  <si>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</si>
  <si>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</si>
  <si>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</si>
  <si>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</si>
  <si>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</si>
  <si>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</si>
  <si>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</si>
  <si>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</si>
  <si>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</si>
  <si>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</si>
  <si>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</si>
  <si>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</si>
  <si>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</si>
  <si>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</si>
  <si>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</si>
  <si>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</si>
  <si>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</si>
  <si>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</si>
  <si>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</si>
  <si>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</si>
  <si>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</si>
  <si>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</si>
  <si>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</si>
  <si>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</si>
  <si>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</si>
  <si>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</si>
  <si>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</si>
  <si>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</si>
  <si>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</si>
  <si>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</si>
  <si>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</si>
  <si>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</si>
  <si>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</si>
  <si>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</si>
  <si>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</si>
  <si>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</si>
  <si>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</si>
  <si>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</si>
  <si>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</si>
  <si>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</si>
  <si>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</si>
  <si>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</si>
  <si>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</si>
  <si>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</si>
  <si>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</si>
  <si>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</si>
  <si>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</si>
  <si>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</si>
  <si>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</si>
  <si>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</si>
  <si>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</si>
  <si>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</si>
  <si>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</si>
  <si>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</si>
  <si>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</si>
  <si>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</si>
  <si>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</si>
  <si>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</si>
  <si>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</si>
  <si>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</si>
  <si>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</si>
  <si>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</si>
  <si>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</si>
  <si>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</si>
  <si>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</si>
  <si>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</si>
  <si>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</si>
  <si>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</si>
  <si>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</si>
  <si>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</si>
  <si>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</si>
  <si>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</si>
  <si>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</si>
  <si>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</si>
  <si>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</si>
  <si>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</si>
  <si>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</si>
  <si>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</si>
  <si>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</si>
  <si>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</si>
  <si>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</si>
  <si>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</si>
  <si>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</si>
  <si>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</si>
  <si>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</si>
  <si>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</si>
  <si>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</si>
  <si>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</si>
  <si>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</si>
  <si>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</si>
  <si>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</si>
  <si>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</si>
  <si>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</si>
  <si>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</si>
  <si>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</si>
  <si>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</si>
  <si>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</si>
  <si>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</si>
  <si>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</si>
  <si>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</si>
  <si>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</si>
  <si>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</si>
  <si>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</si>
  <si>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</si>
  <si>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</si>
  <si>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</si>
  <si>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</si>
  <si>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</si>
  <si>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</si>
  <si>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</si>
  <si>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</si>
  <si>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</si>
  <si>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</si>
  <si>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</si>
  <si>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</si>
  <si>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</si>
  <si>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</si>
  <si>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</si>
  <si>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</si>
  <si>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</si>
  <si>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</si>
  <si>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</si>
  <si>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</si>
  <si>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</si>
  <si>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</si>
  <si>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</si>
  <si>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</si>
  <si>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</si>
  <si>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</si>
  <si>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</si>
  <si>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</si>
  <si>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</si>
  <si>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</si>
  <si>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</si>
  <si>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</si>
  <si>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</si>
  <si>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</si>
  <si>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</si>
  <si>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</si>
  <si>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</si>
  <si>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</si>
  <si>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</si>
  <si>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</si>
  <si>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</si>
  <si>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</si>
  <si>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</si>
  <si>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</si>
  <si>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</si>
  <si>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</si>
  <si>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</si>
  <si>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</si>
  <si>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</si>
  <si>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</si>
  <si>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</si>
  <si>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</si>
  <si>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</si>
  <si>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</si>
  <si>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</si>
  <si>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</si>
  <si>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</si>
  <si>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</si>
  <si>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</si>
  <si>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</si>
  <si>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</si>
  <si>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</si>
  <si>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</si>
  <si>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</si>
  <si>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</si>
  <si>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</si>
  <si>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</si>
  <si>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</si>
  <si>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</si>
  <si>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</si>
  <si>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</si>
  <si>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</si>
  <si>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</si>
  <si>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</si>
  <si>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</si>
  <si>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</si>
  <si>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</si>
  <si>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</si>
  <si>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</si>
  <si>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</si>
  <si>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</si>
  <si>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</si>
  <si>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</si>
  <si>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</si>
  <si>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</si>
  <si>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</si>
  <si>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</si>
  <si>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</si>
  <si>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</si>
  <si>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</si>
  <si>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</si>
  <si>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</si>
  <si>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</si>
  <si>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</si>
  <si>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</si>
  <si>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</si>
  <si>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</si>
  <si>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</si>
  <si>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</si>
  <si>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</si>
  <si>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</si>
  <si>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</si>
  <si>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</si>
  <si>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</si>
  <si>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</si>
  <si>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</si>
  <si>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</si>
  <si>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</si>
  <si>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</si>
  <si>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</si>
  <si>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</si>
  <si>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</si>
  <si>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</si>
  <si>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</si>
  <si>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</si>
  <si>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</si>
  <si>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</si>
  <si>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</si>
  <si>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</si>
  <si>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</si>
  <si>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</si>
  <si>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</si>
  <si>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</si>
  <si>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</si>
  <si>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</si>
  <si>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</si>
  <si>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</si>
  <si>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</si>
  <si>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</si>
  <si>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</si>
  <si>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</si>
  <si>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</si>
  <si>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</si>
  <si>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</si>
  <si>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</si>
  <si>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</si>
  <si>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</si>
  <si>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</si>
  <si>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</si>
  <si>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</si>
  <si>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</si>
  <si>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</si>
  <si>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</si>
  <si>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</si>
  <si>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</si>
  <si>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</si>
  <si>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</si>
  <si>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</si>
  <si>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</si>
  <si>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</si>
  <si>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</si>
  <si>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</si>
  <si>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</si>
  <si>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</si>
  <si>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</si>
  <si>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</si>
  <si>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</si>
  <si>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</si>
  <si>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</si>
  <si>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</si>
  <si>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</si>
  <si>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</si>
  <si>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</si>
  <si>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</si>
  <si>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</si>
  <si>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</si>
  <si>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</si>
  <si>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</si>
  <si>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</si>
  <si>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</si>
  <si>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</si>
  <si>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</si>
  <si>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</si>
  <si>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</si>
  <si>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</si>
  <si>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</si>
  <si>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</si>
  <si>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</si>
  <si>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</si>
  <si>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</si>
  <si>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</si>
  <si>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</si>
  <si>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</si>
  <si>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</si>
  <si>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</si>
  <si>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</si>
  <si>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</si>
  <si>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</si>
  <si>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</si>
  <si>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</si>
  <si>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</si>
  <si>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</si>
  <si>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</si>
  <si>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</si>
  <si>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</si>
  <si>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</si>
  <si>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</si>
  <si>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</si>
  <si>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</si>
  <si>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</si>
  <si>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</si>
  <si>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</si>
  <si>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</si>
  <si>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</si>
  <si>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</si>
  <si>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</si>
  <si>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</si>
  <si>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</si>
  <si>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</si>
  <si>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</si>
  <si>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</si>
  <si>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</si>
  <si>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</si>
  <si>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</si>
  <si>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</si>
  <si>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</si>
  <si>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</si>
  <si>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</si>
  <si>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</si>
  <si>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</si>
  <si>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</si>
  <si>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</si>
  <si>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</si>
  <si>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</si>
  <si>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</si>
  <si>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</si>
  <si>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</si>
  <si>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</si>
  <si>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</si>
  <si>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</si>
  <si>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</si>
  <si>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</si>
  <si>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</si>
  <si>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</si>
  <si>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</si>
  <si>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</si>
  <si>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</si>
  <si>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</si>
  <si>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</si>
  <si>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</si>
  <si>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</si>
  <si>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</si>
  <si>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</si>
  <si>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</si>
  <si>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</si>
  <si>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</si>
  <si>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</si>
  <si>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</si>
  <si>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</si>
  <si>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</si>
  <si>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</si>
  <si>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</si>
  <si>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</si>
  <si>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</si>
  <si>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</si>
  <si>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</si>
  <si>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</si>
  <si>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</si>
  <si>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</si>
  <si>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</si>
  <si>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</si>
  <si>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</si>
  <si>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</si>
  <si>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</si>
  <si>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</si>
  <si>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</si>
  <si>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</si>
  <si>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</si>
  <si>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</si>
  <si>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</si>
  <si>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</si>
  <si>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</si>
  <si>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</si>
  <si>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</si>
  <si>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</si>
  <si>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</si>
  <si>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</si>
  <si>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</si>
  <si>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</si>
  <si>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</si>
  <si>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</si>
  <si>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</si>
  <si>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</si>
  <si>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</si>
  <si>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</si>
  <si>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</si>
  <si>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</si>
  <si>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</si>
  <si>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</si>
  <si>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</si>
  <si>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</si>
  <si>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</si>
  <si>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</si>
  <si>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</si>
  <si>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</si>
  <si>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</si>
  <si>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</si>
  <si>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</si>
  <si>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</si>
  <si>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</si>
  <si>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</si>
  <si>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</si>
  <si>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</si>
  <si>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</si>
  <si>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</si>
  <si>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</si>
  <si>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</si>
  <si>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</si>
  <si>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</si>
  <si>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</si>
  <si>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</si>
  <si>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</si>
  <si>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</si>
  <si>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</si>
  <si>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</si>
  <si>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</si>
  <si>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</si>
  <si>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</si>
  <si>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</si>
  <si>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</si>
  <si>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</si>
  <si>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</si>
  <si>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</si>
  <si>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</si>
  <si>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</si>
  <si>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</si>
  <si>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</si>
  <si>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</si>
  <si>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</si>
  <si>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</si>
  <si>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</si>
  <si>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</si>
  <si>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</si>
  <si>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</si>
  <si>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</si>
  <si>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</si>
  <si>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</si>
  <si>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</si>
  <si>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</si>
  <si>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</si>
  <si>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</si>
  <si>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</si>
  <si>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</si>
  <si>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</si>
  <si>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</si>
  <si>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</si>
  <si>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</si>
  <si>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</si>
  <si>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</si>
  <si>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</si>
  <si>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</si>
  <si>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</si>
  <si>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</si>
  <si>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</si>
  <si>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</si>
  <si>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</si>
  <si>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</si>
  <si>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</si>
  <si>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</si>
  <si>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</si>
  <si>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</si>
  <si>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</si>
  <si>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</si>
  <si>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</si>
  <si>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</si>
  <si>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</si>
  <si>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</si>
  <si>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</si>
  <si>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</si>
  <si>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</si>
  <si>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</si>
  <si>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</si>
  <si>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</si>
  <si>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</si>
  <si>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</si>
  <si>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</si>
  <si>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</si>
  <si>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</si>
  <si>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</si>
  <si>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</si>
  <si>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</si>
  <si>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</si>
  <si>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</si>
  <si>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</si>
  <si>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</si>
  <si>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</si>
  <si>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</si>
  <si>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</si>
  <si>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</si>
  <si>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</si>
  <si>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</si>
  <si>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</si>
  <si>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</si>
  <si>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</si>
  <si>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</si>
  <si>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</si>
  <si>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</si>
  <si>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</si>
  <si>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</si>
  <si>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</si>
  <si>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</si>
  <si>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</si>
  <si>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</si>
  <si>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</si>
  <si>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</si>
  <si>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</si>
  <si>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</si>
  <si>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</si>
  <si>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</si>
  <si>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</si>
  <si>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</si>
  <si>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</si>
  <si>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</si>
  <si>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</si>
  <si>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</si>
  <si>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</si>
  <si>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</si>
  <si>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</si>
  <si>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</si>
  <si>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</si>
  <si>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</si>
  <si>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</si>
  <si>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</si>
  <si>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</si>
  <si>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</si>
  <si>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</si>
  <si>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</si>
  <si>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</si>
  <si>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</si>
  <si>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</si>
  <si>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</si>
  <si>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</si>
  <si>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</si>
  <si>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</si>
  <si>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</si>
  <si>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</si>
  <si>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</si>
  <si>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</si>
  <si>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</si>
  <si>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</si>
  <si>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</si>
  <si>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</si>
  <si>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</si>
  <si>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</si>
  <si>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</si>
  <si>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</si>
  <si>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</si>
  <si>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</si>
  <si>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</si>
  <si>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</si>
  <si>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</si>
  <si>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</si>
  <si>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</si>
  <si>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</si>
  <si>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</si>
  <si>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</si>
  <si>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</si>
  <si>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</si>
  <si>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</si>
  <si>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</si>
  <si>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</si>
  <si>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</si>
  <si>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</si>
  <si>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</si>
  <si>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</si>
  <si>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</si>
  <si>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</si>
  <si>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</si>
  <si>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</si>
  <si>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</si>
  <si>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</si>
  <si>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</si>
  <si>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</si>
  <si>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</si>
  <si>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</si>
  <si>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</si>
  <si>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</si>
  <si>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</si>
  <si>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</si>
  <si>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</si>
  <si>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</si>
  <si>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</si>
  <si>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</si>
  <si>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</si>
  <si>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</si>
  <si>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</si>
  <si>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</si>
  <si>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</si>
  <si>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</si>
  <si>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</si>
  <si>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</si>
  <si>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</si>
  <si>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</si>
  <si>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</si>
  <si>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</si>
  <si>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</si>
  <si>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</si>
  <si>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</si>
  <si>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</si>
  <si>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</si>
  <si>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</si>
  <si>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</si>
  <si>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</si>
  <si>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</si>
  <si>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</si>
  <si>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</si>
  <si>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</si>
  <si>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</si>
  <si>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</si>
  <si>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</si>
  <si>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</si>
  <si>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</si>
  <si>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</si>
  <si>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</si>
  <si>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</si>
  <si>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</si>
  <si>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</si>
  <si>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</si>
  <si>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</si>
  <si>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</si>
  <si>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</si>
  <si>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</si>
  <si>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</si>
  <si>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</si>
  <si>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</si>
  <si>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</si>
  <si>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</si>
  <si>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</si>
  <si>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</si>
  <si>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</si>
  <si>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</si>
  <si>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</si>
  <si>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</si>
  <si>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</si>
  <si>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</si>
  <si>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</si>
  <si>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</si>
  <si>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</si>
  <si>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</si>
  <si>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</si>
  <si>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</si>
  <si>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</si>
  <si>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</si>
  <si>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</si>
  <si>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</si>
  <si>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</si>
  <si>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</si>
  <si>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</si>
  <si>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</si>
  <si>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</si>
  <si>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</si>
  <si>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</si>
  <si>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</si>
  <si>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</si>
  <si>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</si>
  <si>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</si>
  <si>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</si>
  <si>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</si>
  <si>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</si>
  <si>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</si>
  <si>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</si>
  <si>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</si>
  <si>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</si>
  <si>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</si>
  <si>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</si>
  <si>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</si>
  <si>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</si>
  <si>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</si>
  <si>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</si>
  <si>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</si>
  <si>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</si>
  <si>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</si>
  <si>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</si>
  <si>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</si>
  <si>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</si>
  <si>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</si>
  <si>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</si>
  <si>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</si>
  <si>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</si>
  <si>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</si>
  <si>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</si>
  <si>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</si>
  <si>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</si>
  <si>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</si>
  <si>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</si>
  <si>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</si>
  <si>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</si>
  <si>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</si>
  <si>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</si>
  <si>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</si>
  <si>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</si>
  <si>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</si>
  <si>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</si>
  <si>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</si>
  <si>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</si>
  <si>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</si>
  <si>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</si>
  <si>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</si>
  <si>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</si>
  <si>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</si>
  <si>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</si>
  <si>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</si>
  <si>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</si>
  <si>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</si>
  <si>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</si>
  <si>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</si>
  <si>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</si>
  <si>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</si>
  <si>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</si>
  <si>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</si>
  <si>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</si>
  <si>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</si>
  <si>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</si>
  <si>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</si>
  <si>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</si>
  <si>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</si>
  <si>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</si>
  <si>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</si>
  <si>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</si>
  <si>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</si>
  <si>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</si>
  <si>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</si>
  <si>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</si>
  <si>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</si>
  <si>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</si>
  <si>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</si>
  <si>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</si>
  <si>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</si>
  <si>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</si>
  <si>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</si>
  <si>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</si>
  <si>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</si>
  <si>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</si>
  <si>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</si>
  <si>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</si>
  <si>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</si>
  <si>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</si>
  <si>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</si>
  <si>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</si>
  <si>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</si>
  <si>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</si>
  <si>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</si>
  <si>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</si>
  <si>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</si>
  <si>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</si>
  <si>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</si>
  <si>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</si>
  <si>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</si>
  <si>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</si>
  <si>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</si>
  <si>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</si>
  <si>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</si>
  <si>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</si>
  <si>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</si>
  <si>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</si>
  <si>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</si>
  <si>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</si>
  <si>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</si>
  <si>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</si>
  <si>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</si>
  <si>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</si>
  <si>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</si>
  <si>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</si>
  <si>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</si>
  <si>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</si>
  <si>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</si>
  <si>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</si>
  <si>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</si>
  <si>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</si>
  <si>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</si>
  <si>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</si>
  <si>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</si>
  <si>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</si>
  <si>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</si>
  <si>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</si>
  <si>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</si>
  <si>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</si>
  <si>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</si>
  <si>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</si>
  <si>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</si>
  <si>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</si>
  <si>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</si>
  <si>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</si>
  <si>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</si>
  <si>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</si>
  <si>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</si>
  <si>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</si>
  <si>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</si>
  <si>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</si>
  <si>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</si>
  <si>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</si>
  <si>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</si>
  <si>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</si>
  <si>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</si>
  <si>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</si>
  <si>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</si>
  <si>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</si>
  <si>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</si>
  <si>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</si>
  <si>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</si>
  <si>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</si>
  <si>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</si>
  <si>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</si>
  <si>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</si>
  <si>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</si>
  <si>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</si>
  <si>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</si>
  <si>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</si>
  <si>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</si>
  <si>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</si>
  <si>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</si>
  <si>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</si>
  <si>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</si>
  <si>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</si>
  <si>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</si>
  <si>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</si>
  <si>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</si>
  <si>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</si>
  <si>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</si>
  <si>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</si>
  <si>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</si>
  <si>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</si>
  <si>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</si>
  <si>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</si>
  <si>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</si>
  <si>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</si>
  <si>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</si>
  <si>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</si>
  <si>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</si>
  <si>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</si>
  <si>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</si>
  <si>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</si>
  <si>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</si>
  <si>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</si>
  <si>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</si>
  <si>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</si>
  <si>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</si>
  <si>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</si>
  <si>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</si>
  <si>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</si>
  <si>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</si>
  <si>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</si>
  <si>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</si>
  <si>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</si>
  <si>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</si>
  <si>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</si>
  <si>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</si>
  <si>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</si>
  <si>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</si>
  <si>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</si>
  <si>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</si>
  <si>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</si>
  <si>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</si>
  <si>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</si>
  <si>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</si>
  <si>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</si>
  <si>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</si>
  <si>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</si>
  <si>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</si>
  <si>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</si>
  <si>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</si>
  <si>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</si>
  <si>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</si>
  <si>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</si>
  <si>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</si>
  <si>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</si>
  <si>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</si>
  <si>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</si>
  <si>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</si>
  <si>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</si>
  <si>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</si>
  <si>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</si>
  <si>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</si>
  <si>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</si>
  <si>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</si>
  <si>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</si>
  <si>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</si>
  <si>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</si>
  <si>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</si>
  <si>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</si>
  <si>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</si>
  <si>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</si>
  <si>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</si>
  <si>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</si>
  <si>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</si>
  <si>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</si>
  <si>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</si>
  <si>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</si>
  <si>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</si>
  <si>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</si>
  <si>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</si>
  <si>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</si>
  <si>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</si>
  <si>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</si>
  <si>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</si>
  <si>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</si>
  <si>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</si>
  <si>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</si>
  <si>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</si>
  <si>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</si>
  <si>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</si>
  <si>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</si>
  <si>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</si>
  <si>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</si>
  <si>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</si>
  <si>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</si>
  <si>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</si>
  <si>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</si>
  <si>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</si>
  <si>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</si>
  <si>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</si>
  <si>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</si>
  <si>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</si>
  <si>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</si>
  <si>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</si>
  <si>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</si>
  <si>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</si>
  <si>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</si>
  <si>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</si>
  <si>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</si>
  <si>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</si>
  <si>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</si>
  <si>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</si>
  <si>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</si>
  <si>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</si>
  <si>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</si>
  <si>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</si>
  <si>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</si>
  <si>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</si>
  <si>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</si>
  <si>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</si>
  <si>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</si>
  <si>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</si>
  <si>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</si>
  <si>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</si>
  <si>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</si>
  <si>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</si>
  <si>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</si>
  <si>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</si>
  <si>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</si>
  <si>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</si>
  <si>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</si>
  <si>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</si>
  <si>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</si>
  <si>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</si>
  <si>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</si>
  <si>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</si>
  <si>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</si>
  <si>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</si>
  <si>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</si>
  <si>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</si>
  <si>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</si>
  <si>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</si>
  <si>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</si>
  <si>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</si>
  <si>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</si>
  <si>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</si>
  <si>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</si>
  <si>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</si>
  <si>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</si>
  <si>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</si>
  <si>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</si>
  <si>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</si>
  <si>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</si>
  <si>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</si>
  <si>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</si>
  <si>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</si>
  <si>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</si>
  <si>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</si>
  <si>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</si>
  <si>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</si>
  <si>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</si>
  <si>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</si>
  <si>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</si>
  <si>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</si>
  <si>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</si>
  <si>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</si>
  <si>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</si>
  <si>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</si>
  <si>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</si>
  <si>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</si>
  <si>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</si>
  <si>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</si>
  <si>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</si>
  <si>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</si>
  <si>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</si>
  <si>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</si>
  <si>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</si>
  <si>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</si>
  <si>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</si>
  <si>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</si>
  <si>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</si>
  <si>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</si>
  <si>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</si>
  <si>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</si>
  <si>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</si>
  <si>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</si>
  <si>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</si>
  <si>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</si>
  <si>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</si>
  <si>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</si>
  <si>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</si>
  <si>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</si>
  <si>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</si>
  <si>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</si>
  <si>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</si>
  <si>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</si>
  <si>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</si>
  <si>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</si>
  <si>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</si>
  <si>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</si>
  <si>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</si>
  <si>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</si>
  <si>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</si>
  <si>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</si>
  <si>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</si>
  <si>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</si>
  <si>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</si>
  <si>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</si>
  <si>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</si>
  <si>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</si>
  <si>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</si>
  <si>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</si>
  <si>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</si>
  <si>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</si>
  <si>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</si>
  <si>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</si>
  <si>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</si>
  <si>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</si>
  <si>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</si>
  <si>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</si>
  <si>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</si>
  <si>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</si>
  <si>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</si>
  <si>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</si>
  <si>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</si>
  <si>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</si>
  <si>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</si>
  <si>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</si>
  <si>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</si>
  <si>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</si>
  <si>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</si>
  <si>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</si>
  <si>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</si>
  <si>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</si>
  <si>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</si>
  <si>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</si>
  <si>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</si>
  <si>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</si>
  <si>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</si>
  <si>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</si>
  <si>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</si>
  <si>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</si>
  <si>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</si>
  <si>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</si>
  <si>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</si>
  <si>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</si>
  <si>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</si>
  <si>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</si>
  <si>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</si>
  <si>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</si>
  <si>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</si>
  <si>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</si>
  <si>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</si>
  <si>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</si>
  <si>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</si>
  <si>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</si>
  <si>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</si>
  <si>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</si>
  <si>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</si>
  <si>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</si>
  <si>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</si>
  <si>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</si>
  <si>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</si>
  <si>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</si>
  <si>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</si>
  <si>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</si>
  <si>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</si>
  <si>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</si>
  <si>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</si>
  <si>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</si>
  <si>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</si>
  <si>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</si>
  <si>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</si>
  <si>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</si>
  <si>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</si>
  <si>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</si>
  <si>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</si>
  <si>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</si>
  <si>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</si>
  <si>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</si>
  <si>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</si>
  <si>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</si>
  <si>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</si>
  <si>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</si>
  <si>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</si>
  <si>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</si>
  <si>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</si>
  <si>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</si>
  <si>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</si>
  <si>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</si>
  <si>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</si>
  <si>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</si>
  <si>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</si>
  <si>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</si>
  <si>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</si>
  <si>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</si>
  <si>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</si>
  <si>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</si>
  <si>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</si>
  <si>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</si>
  <si>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</si>
  <si>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</si>
  <si>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</si>
  <si>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</si>
  <si>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</si>
  <si>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</si>
  <si>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</si>
  <si>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</si>
  <si>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</si>
  <si>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</si>
  <si>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</si>
  <si>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</si>
  <si>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</si>
  <si>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</si>
  <si>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</si>
  <si>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</si>
  <si>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</si>
  <si>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</si>
  <si>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</si>
  <si>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</si>
  <si>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</si>
  <si>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</si>
  <si>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</si>
  <si>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</si>
  <si>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</si>
  <si>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</si>
  <si>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</si>
  <si>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</si>
  <si>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</si>
  <si>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</si>
  <si>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</si>
  <si>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</si>
  <si>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</si>
  <si>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</si>
  <si>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</si>
  <si>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</si>
  <si>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</si>
  <si>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</si>
  <si>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</si>
  <si>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</si>
  <si>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</si>
  <si>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</si>
  <si>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</si>
  <si>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</si>
  <si>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</si>
  <si>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</si>
  <si>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</si>
  <si>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</si>
  <si>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</si>
  <si>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</si>
  <si>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</si>
  <si>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</si>
  <si>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</si>
  <si>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</si>
  <si>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</si>
  <si>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</si>
  <si>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</si>
  <si>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</si>
  <si>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</si>
  <si>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</si>
  <si>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</si>
  <si>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</si>
  <si>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</si>
  <si>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</si>
  <si>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</si>
  <si>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</si>
  <si>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</si>
  <si>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</si>
  <si>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</si>
  <si>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</si>
  <si>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</si>
  <si>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</si>
  <si>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</si>
  <si>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</si>
  <si>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</si>
  <si>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</si>
  <si>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</si>
  <si>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</si>
  <si>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</si>
  <si>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</si>
  <si>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</si>
  <si>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</si>
  <si>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</si>
  <si>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</si>
  <si>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</si>
  <si>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</si>
  <si>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</si>
  <si>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</si>
  <si>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</si>
  <si>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</si>
  <si>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</si>
  <si>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</si>
  <si>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</si>
  <si>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</si>
  <si>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</si>
  <si>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</si>
  <si>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</si>
  <si>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</si>
  <si>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</si>
  <si>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</si>
  <si>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</si>
  <si>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</si>
  <si>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</si>
  <si>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</si>
  <si>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</si>
  <si>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</si>
  <si>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</si>
  <si>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</si>
  <si>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</si>
  <si>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</si>
  <si>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</si>
  <si>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</si>
  <si>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</si>
  <si>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</si>
  <si>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</si>
  <si>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</si>
  <si>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</si>
  <si>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</si>
  <si>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</si>
  <si>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</si>
  <si>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</si>
  <si>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</si>
  <si>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</si>
  <si>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</si>
  <si>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</si>
  <si>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</si>
  <si>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</si>
  <si>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</si>
  <si>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</si>
  <si>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</si>
  <si>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</si>
  <si>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</si>
  <si>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</si>
  <si>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</si>
  <si>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</si>
  <si>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</si>
  <si>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</si>
  <si>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</si>
  <si>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</si>
  <si>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</si>
  <si>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</si>
  <si>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</si>
  <si>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</si>
  <si>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</si>
  <si>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</si>
  <si>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</si>
  <si>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</si>
  <si>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</si>
  <si>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</si>
  <si>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</si>
  <si>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</si>
  <si>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</si>
  <si>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</si>
  <si>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</si>
  <si>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</si>
  <si>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</si>
  <si>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</si>
  <si>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</si>
  <si>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</si>
  <si>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</si>
  <si>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</si>
  <si>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</si>
  <si>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</si>
  <si>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</si>
  <si>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</si>
  <si>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</si>
  <si>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</si>
  <si>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</si>
  <si>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</si>
  <si>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</si>
  <si>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</si>
  <si>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</si>
  <si>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</si>
  <si>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</si>
  <si>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</si>
  <si>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</si>
  <si>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</si>
  <si>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</si>
  <si>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</si>
  <si>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</si>
  <si>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</si>
  <si>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</si>
  <si>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</si>
  <si>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</si>
  <si>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</si>
  <si>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</si>
  <si>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</si>
  <si>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</si>
  <si>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</si>
  <si>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</si>
  <si>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</si>
  <si>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</si>
  <si>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</si>
  <si>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</si>
  <si>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</si>
  <si>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</si>
  <si>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</si>
  <si>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</si>
  <si>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</si>
  <si>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</si>
  <si>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</si>
  <si>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</si>
  <si>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</si>
  <si>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</si>
  <si>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</si>
  <si>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</si>
  <si>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</si>
  <si>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</si>
  <si>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</si>
  <si>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</si>
  <si>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</si>
  <si>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</si>
  <si>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</si>
  <si>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</si>
  <si>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</si>
  <si>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</si>
  <si>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</si>
  <si>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</si>
  <si>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</si>
  <si>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</si>
  <si>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</si>
  <si>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</si>
  <si>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</si>
  <si>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</si>
  <si>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</si>
  <si>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</si>
  <si>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</si>
  <si>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</si>
  <si>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</si>
  <si>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</si>
  <si>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</si>
  <si>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</si>
  <si>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</si>
  <si>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</si>
  <si>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</si>
  <si>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</si>
  <si>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</si>
  <si>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</si>
  <si>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</si>
  <si>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</si>
  <si>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</si>
  <si>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</si>
  <si>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</si>
  <si>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</si>
  <si>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</si>
  <si>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</si>
  <si>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</si>
  <si>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</si>
  <si>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</si>
  <si>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</si>
  <si>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</si>
  <si>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</si>
  <si>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</si>
  <si>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</si>
  <si>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</si>
  <si>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</si>
  <si>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</si>
  <si>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</si>
  <si>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</si>
  <si>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</si>
  <si>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</si>
  <si>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</si>
  <si>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</si>
  <si>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</si>
  <si>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</si>
  <si>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</si>
  <si>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</si>
  <si>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</si>
  <si>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</si>
  <si>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</si>
  <si>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</si>
  <si>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</si>
  <si>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</si>
  <si>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</si>
  <si>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</si>
  <si>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</si>
  <si>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</si>
  <si>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</si>
  <si>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</si>
  <si>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</si>
  <si>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</si>
  <si>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</si>
  <si>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</si>
  <si>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</si>
  <si>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</si>
  <si>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</si>
  <si>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</si>
  <si>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</si>
  <si>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</si>
  <si>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</si>
  <si>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</si>
  <si>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</si>
  <si>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</si>
  <si>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</si>
  <si>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</si>
  <si>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</si>
  <si>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</si>
  <si>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</si>
  <si>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</si>
  <si>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</si>
  <si>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</si>
  <si>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</si>
  <si>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</si>
  <si>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</si>
  <si>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</si>
  <si>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</si>
  <si>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</si>
  <si>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</si>
  <si>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</si>
  <si>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</si>
  <si>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</si>
  <si>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</si>
  <si>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</si>
  <si>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</si>
  <si>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</si>
  <si>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</si>
  <si>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</si>
  <si>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</si>
  <si>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</si>
  <si>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</si>
  <si>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</si>
  <si>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</si>
  <si>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</si>
  <si>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</si>
  <si>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</si>
  <si>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</si>
  <si>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</si>
  <si>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</si>
  <si>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</si>
  <si>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</si>
  <si>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</si>
  <si>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</si>
  <si>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</si>
  <si>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</si>
  <si>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</si>
  <si>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</si>
  <si>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</si>
  <si>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</si>
  <si>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</si>
  <si>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</si>
  <si>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</si>
  <si>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</si>
  <si>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</si>
  <si>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</si>
  <si>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</si>
  <si>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</si>
  <si>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</si>
  <si>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</si>
  <si>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</si>
  <si>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</si>
  <si>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</si>
  <si>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</si>
  <si>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</si>
  <si>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</si>
  <si>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</si>
  <si>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</si>
  <si>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</si>
  <si>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</si>
  <si>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</si>
  <si>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</si>
  <si>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</si>
  <si>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</si>
  <si>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</si>
  <si>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</si>
  <si>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</si>
  <si>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</si>
  <si>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</si>
  <si>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</si>
  <si>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</si>
  <si>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</si>
  <si>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</si>
  <si>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</si>
  <si>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</si>
  <si>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</si>
  <si>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</si>
  <si>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</si>
  <si>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</si>
  <si>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</si>
  <si>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</si>
  <si>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</si>
  <si>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</si>
  <si>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</si>
  <si>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</si>
  <si>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</si>
  <si>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</si>
  <si>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</si>
  <si>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</si>
  <si>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</si>
  <si>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</si>
  <si>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</si>
  <si>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</si>
  <si>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</si>
  <si>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</si>
  <si>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</si>
  <si>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</si>
  <si>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</si>
  <si>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</si>
  <si>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</si>
  <si>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</si>
  <si>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</si>
  <si>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</si>
  <si>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</si>
  <si>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</si>
  <si>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</si>
  <si>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</si>
  <si>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</si>
  <si>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</si>
  <si>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</si>
  <si>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</si>
  <si>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</si>
  <si>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</si>
  <si>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</si>
  <si>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</si>
  <si>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</si>
  <si>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</si>
  <si>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</si>
  <si>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</si>
  <si>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</si>
  <si>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</si>
  <si>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</si>
  <si>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</si>
  <si>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</si>
  <si>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</si>
  <si>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</si>
  <si>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</si>
  <si>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</si>
  <si>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</si>
  <si>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</si>
  <si>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</si>
  <si>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</si>
  <si>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</si>
  <si>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</si>
  <si>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</si>
  <si>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</si>
  <si>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</si>
  <si>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</si>
  <si>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</si>
  <si>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</si>
  <si>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</si>
  <si>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</si>
  <si>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</si>
  <si>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</si>
  <si>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</si>
  <si>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</si>
  <si>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</si>
  <si>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</si>
  <si>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</si>
  <si>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</si>
  <si>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</si>
  <si>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</si>
  <si>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</si>
  <si>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</si>
  <si>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</si>
  <si>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</si>
  <si>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</si>
  <si>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</si>
  <si>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</si>
  <si>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</si>
  <si>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</si>
  <si>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</si>
  <si>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</si>
  <si>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</si>
  <si>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</si>
  <si>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</si>
  <si>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</si>
  <si>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</si>
  <si>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</si>
  <si>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</si>
  <si>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</si>
  <si>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</si>
  <si>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</si>
  <si>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</si>
  <si>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</si>
  <si>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</si>
  <si>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</si>
  <si>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</si>
  <si>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</si>
  <si>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</si>
  <si>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</si>
  <si>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</si>
  <si>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</si>
  <si>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</si>
  <si>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</si>
  <si>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</si>
  <si>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</si>
  <si>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</si>
  <si>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</si>
  <si>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</si>
  <si>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</si>
  <si>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</si>
  <si>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</si>
  <si>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</si>
  <si>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</si>
  <si>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</si>
  <si>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</si>
  <si>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</si>
  <si>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</si>
  <si>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</si>
  <si>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</si>
  <si>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</si>
  <si>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</si>
  <si>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</si>
  <si>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</si>
  <si>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</si>
  <si>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</si>
  <si>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</si>
  <si>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</si>
  <si>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</si>
  <si>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</si>
  <si>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</si>
  <si>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</si>
  <si>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</si>
  <si>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</si>
  <si>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</si>
  <si>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</si>
  <si>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</si>
  <si>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</si>
  <si>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</si>
  <si>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</si>
  <si>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</si>
  <si>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</si>
  <si>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</si>
  <si>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</si>
  <si>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</si>
  <si>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</si>
  <si>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</si>
  <si>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</si>
  <si>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</si>
  <si>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</si>
  <si>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</si>
  <si>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</si>
  <si>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</si>
  <si>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</si>
  <si>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</si>
  <si>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</si>
  <si>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</si>
  <si>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</si>
  <si>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</si>
  <si>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</si>
  <si>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</si>
  <si>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</si>
  <si>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</si>
  <si>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</si>
  <si>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</si>
  <si>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</si>
  <si>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</si>
  <si>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</si>
  <si>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</si>
  <si>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</si>
  <si>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</si>
  <si>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</si>
  <si>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</si>
  <si>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</si>
  <si>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</si>
  <si>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</si>
  <si>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</si>
  <si>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</si>
  <si>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</si>
  <si>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</si>
  <si>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</si>
  <si>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</si>
  <si>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</si>
  <si>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</si>
  <si>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</si>
  <si>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</si>
  <si>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</si>
  <si>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</si>
  <si>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</si>
  <si>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</si>
  <si>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</si>
  <si>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</si>
  <si>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</si>
  <si>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</si>
  <si>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</si>
  <si>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</si>
  <si>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</si>
  <si>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</si>
  <si>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</si>
  <si>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</si>
  <si>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</si>
  <si>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</si>
  <si>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</si>
  <si>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</si>
  <si>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</si>
  <si>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</si>
  <si>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</si>
  <si>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</si>
  <si>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</si>
  <si>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</si>
  <si>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</si>
  <si>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</si>
  <si>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</si>
  <si>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</si>
  <si>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</si>
  <si>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</si>
  <si>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</si>
  <si>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</si>
  <si>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</si>
  <si>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</si>
  <si>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</si>
  <si>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</si>
  <si>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</si>
  <si>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</si>
  <si>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</si>
  <si>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</si>
  <si>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</si>
  <si>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</si>
  <si>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</si>
  <si>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</si>
  <si>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</si>
  <si>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</si>
  <si>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</si>
  <si>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</si>
  <si>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</si>
  <si>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</si>
  <si>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</si>
  <si>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</si>
  <si>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</si>
  <si>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</si>
  <si>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</si>
  <si>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</si>
  <si>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</si>
  <si>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</si>
  <si>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</si>
  <si>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</si>
  <si>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</si>
  <si>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</si>
  <si>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</si>
  <si>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</si>
  <si>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</si>
  <si>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</si>
  <si>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</si>
  <si>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</si>
  <si>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</si>
  <si>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</si>
  <si>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</si>
  <si>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</si>
  <si>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</si>
  <si>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</si>
  <si>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</si>
  <si>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</si>
  <si>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</si>
  <si>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</si>
  <si>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</si>
  <si>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</si>
  <si>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</si>
  <si>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</si>
  <si>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</si>
  <si>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</si>
  <si>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</si>
  <si>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</si>
  <si>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</si>
  <si>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</si>
  <si>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</si>
  <si>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</si>
  <si>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</si>
  <si>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</si>
  <si>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</si>
  <si>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</si>
  <si>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</si>
  <si>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</si>
  <si>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</si>
  <si>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</si>
  <si>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</si>
  <si>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</si>
  <si>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</si>
  <si>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</si>
  <si>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</si>
  <si>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</si>
  <si>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</si>
  <si>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</si>
  <si>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</si>
  <si>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</si>
  <si>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</si>
  <si>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</si>
  <si>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</si>
  <si>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</si>
  <si>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</si>
  <si>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</si>
  <si>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</si>
  <si>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</si>
  <si>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</si>
  <si>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</si>
  <si>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</si>
  <si>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</si>
  <si>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</si>
  <si>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</si>
  <si>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</si>
  <si>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</si>
  <si>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</si>
  <si>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</si>
  <si>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</si>
  <si>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</si>
  <si>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</si>
  <si>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</si>
  <si>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</si>
  <si>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</si>
  <si>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</si>
  <si>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</si>
  <si>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</si>
  <si>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</si>
  <si>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</si>
  <si>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</si>
  <si>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</si>
  <si>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</si>
  <si>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</si>
  <si>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</si>
  <si>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</si>
  <si>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</si>
  <si>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</si>
  <si>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</si>
  <si>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</si>
  <si>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</si>
  <si>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</si>
  <si>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</si>
  <si>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</si>
  <si>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</si>
  <si>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</si>
  <si>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</si>
  <si>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</si>
  <si>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</si>
  <si>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</si>
  <si>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</si>
  <si>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</si>
  <si>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</si>
  <si>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</si>
  <si>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</si>
  <si>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</si>
  <si>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</si>
  <si>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</si>
  <si>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</si>
  <si>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</si>
  <si>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</si>
  <si>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</si>
  <si>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</si>
  <si>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</si>
  <si>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</si>
  <si>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</si>
  <si>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</si>
  <si>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</si>
  <si>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</si>
  <si>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</si>
  <si>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</si>
  <si>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</si>
  <si>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</si>
  <si>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</si>
  <si>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</si>
  <si>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</si>
  <si>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</si>
  <si>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</si>
  <si>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</si>
  <si>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</si>
  <si>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</si>
  <si>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</si>
  <si>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</si>
  <si>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</si>
  <si>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</si>
  <si>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</si>
  <si>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</si>
  <si>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</si>
  <si>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</si>
  <si>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</si>
  <si>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</si>
  <si>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</si>
  <si>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</si>
  <si>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</si>
  <si>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</si>
  <si>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</si>
  <si>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</si>
  <si>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</si>
  <si>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</si>
  <si>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</si>
  <si>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</si>
  <si>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</si>
  <si>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</si>
  <si>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</si>
  <si>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</si>
  <si>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</si>
  <si>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</si>
  <si>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</si>
  <si>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</si>
  <si>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</si>
  <si>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</si>
  <si>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</si>
  <si>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</si>
  <si>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</si>
  <si>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</si>
  <si>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</si>
  <si>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</si>
  <si>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</si>
  <si>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</si>
  <si>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</si>
  <si>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</si>
  <si>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</si>
  <si>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</si>
  <si>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</si>
  <si>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</si>
  <si>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</si>
  <si>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</si>
  <si>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</si>
  <si>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</si>
  <si>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</si>
  <si>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</si>
  <si>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</si>
  <si>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</si>
  <si>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</si>
  <si>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</si>
  <si>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</si>
  <si>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</si>
  <si>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</si>
  <si>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</si>
  <si>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</si>
  <si>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</si>
  <si>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</si>
  <si>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</si>
  <si>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</si>
  <si>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</si>
  <si>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</si>
  <si>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</si>
  <si>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</si>
  <si>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</si>
  <si>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</si>
  <si>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</si>
  <si>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</si>
  <si>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</si>
  <si>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</si>
  <si>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</si>
  <si>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</si>
  <si>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</si>
  <si>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</si>
  <si>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</si>
  <si>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</si>
  <si>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</si>
  <si>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</si>
  <si>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</si>
  <si>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</si>
  <si>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</si>
  <si>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</si>
  <si>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</si>
  <si>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</si>
  <si>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</si>
  <si>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</si>
  <si>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</si>
  <si>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</si>
  <si>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</si>
  <si>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</si>
  <si>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</si>
  <si>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</si>
  <si>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</si>
  <si>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</si>
  <si>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</si>
  <si>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</si>
  <si>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</si>
  <si>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</si>
  <si>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</si>
  <si>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</si>
  <si>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</si>
  <si>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</si>
  <si>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</si>
  <si>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</si>
  <si>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</si>
  <si>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</si>
  <si>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</si>
  <si>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</si>
  <si>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</si>
  <si>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</si>
  <si>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</si>
  <si>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</si>
  <si>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</si>
  <si>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</si>
  <si>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</si>
  <si>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</si>
  <si>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</si>
  <si>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</si>
  <si>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</si>
  <si>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</si>
  <si>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</si>
  <si>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</si>
  <si>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</si>
  <si>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</si>
  <si>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</si>
  <si>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</si>
  <si>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</si>
  <si>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</si>
  <si>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</si>
  <si>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</si>
  <si>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</si>
  <si>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</si>
  <si>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</si>
  <si>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</si>
  <si>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</si>
  <si>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</si>
  <si>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</si>
  <si>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</si>
  <si>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</si>
  <si>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</si>
  <si>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</si>
  <si>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</si>
  <si>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</si>
  <si>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</si>
  <si>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</si>
  <si>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</si>
  <si>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</si>
  <si>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</si>
  <si>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</si>
  <si>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</si>
  <si>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</si>
  <si>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</si>
  <si>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</si>
  <si>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</si>
  <si>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</si>
  <si>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</si>
  <si>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</si>
  <si>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</si>
  <si>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</si>
  <si>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</si>
  <si>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</si>
  <si>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</si>
  <si>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</si>
  <si>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</si>
  <si>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</si>
  <si>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</si>
  <si>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</si>
  <si>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</si>
  <si>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</si>
  <si>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</si>
  <si>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</si>
  <si>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</si>
  <si>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</si>
  <si>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</si>
  <si>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</si>
  <si>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</si>
  <si>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</si>
  <si>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</si>
  <si>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</si>
  <si>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</si>
  <si>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</si>
  <si>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</si>
  <si>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</si>
  <si>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</si>
  <si>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</si>
  <si>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</si>
  <si>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</si>
  <si>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</si>
  <si>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</si>
  <si>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</si>
  <si>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</si>
  <si>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</si>
  <si>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</si>
  <si>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</si>
  <si>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</si>
  <si>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</si>
  <si>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</si>
  <si>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</si>
  <si>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</si>
  <si>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</si>
  <si>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</si>
  <si>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</si>
  <si>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</si>
  <si>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</si>
  <si>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</si>
  <si>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</si>
  <si>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</si>
  <si>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</si>
  <si>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</si>
  <si>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</si>
  <si>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</si>
  <si>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</si>
  <si>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</si>
  <si>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</si>
  <si>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</si>
  <si>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</si>
  <si>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</si>
  <si>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</si>
  <si>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</si>
  <si>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</si>
  <si>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</si>
  <si>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</si>
  <si>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</si>
  <si>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</si>
  <si>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</si>
  <si>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</si>
  <si>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</si>
  <si>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</si>
  <si>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</si>
  <si>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</si>
  <si>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</si>
  <si>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</si>
  <si>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</si>
  <si>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</si>
  <si>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</si>
  <si>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</si>
  <si>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</si>
  <si>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</si>
  <si>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</si>
  <si>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</si>
  <si>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</si>
  <si>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</si>
  <si>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</si>
  <si>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</si>
  <si>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</si>
  <si>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</si>
  <si>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</si>
  <si>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</si>
  <si>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</si>
  <si>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</si>
  <si>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</si>
  <si>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</si>
  <si>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</si>
  <si>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</si>
  <si>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</si>
  <si>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</si>
  <si>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</si>
  <si>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</si>
  <si>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</si>
  <si>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</si>
  <si>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</si>
  <si>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</si>
  <si>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</si>
  <si>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</si>
  <si>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</si>
  <si>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</si>
  <si>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</si>
  <si>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</si>
  <si>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</si>
  <si>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</si>
  <si>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</si>
  <si>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</si>
  <si>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</si>
  <si>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</si>
  <si>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</si>
  <si>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</si>
  <si>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</si>
  <si>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</si>
  <si>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</si>
  <si>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</si>
  <si>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</si>
  <si>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</si>
  <si>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</si>
  <si>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</si>
  <si>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</si>
  <si>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</si>
  <si>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</si>
  <si>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</si>
  <si>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</si>
  <si>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</si>
  <si>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</si>
  <si>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</si>
  <si>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</si>
  <si>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</si>
  <si>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</si>
  <si>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</si>
  <si>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</si>
  <si>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</si>
  <si>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</si>
  <si>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</si>
  <si>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</si>
  <si>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</si>
  <si>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</si>
  <si>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</si>
  <si>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</si>
  <si>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</si>
  <si>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</si>
  <si>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</si>
  <si>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</si>
  <si>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</si>
  <si>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</si>
  <si>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</si>
  <si>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</si>
  <si>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</si>
  <si>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</si>
  <si>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</si>
  <si>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</si>
  <si>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</si>
  <si>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</si>
  <si>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</si>
  <si>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</si>
  <si>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</si>
  <si>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</si>
  <si>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</si>
  <si>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</si>
  <si>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</si>
  <si>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</si>
  <si>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</si>
  <si>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</si>
  <si>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</si>
  <si>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</si>
  <si>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</si>
  <si>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</si>
  <si>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</si>
  <si>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</si>
  <si>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</si>
  <si>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</si>
  <si>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</si>
  <si>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</si>
  <si>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</si>
  <si>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</si>
  <si>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</si>
  <si>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</si>
  <si>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</si>
  <si>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</si>
  <si>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</si>
  <si>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</si>
  <si>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</si>
  <si>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</si>
  <si>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</si>
  <si>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</si>
  <si>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</si>
  <si>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</si>
  <si>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</si>
  <si>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</si>
  <si>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</si>
  <si>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</si>
  <si>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</si>
  <si>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</si>
  <si>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</si>
  <si>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</si>
  <si>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</si>
  <si>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</si>
  <si>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</si>
  <si>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</si>
  <si>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</si>
  <si>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</si>
  <si>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</si>
  <si>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</si>
  <si>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</si>
  <si>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</si>
  <si>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</si>
  <si>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</si>
  <si>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</si>
  <si>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</si>
  <si>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</si>
  <si>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</si>
  <si>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</si>
  <si>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</si>
  <si>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</si>
  <si>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</si>
  <si>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</si>
  <si>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</si>
  <si>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</si>
  <si>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</si>
  <si>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</si>
  <si>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</si>
  <si>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</si>
  <si>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</si>
  <si>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</si>
  <si>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</si>
  <si>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</si>
  <si>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</si>
  <si>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</si>
  <si>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</si>
  <si>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</si>
  <si>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</si>
  <si>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</si>
  <si>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</si>
  <si>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</si>
  <si>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</si>
  <si>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</si>
  <si>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</si>
  <si>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</si>
  <si>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</si>
  <si>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</si>
  <si>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</si>
  <si>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</si>
  <si>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</si>
  <si>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</si>
  <si>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</si>
  <si>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</si>
  <si>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</si>
  <si>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</si>
  <si>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</si>
  <si>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</si>
  <si>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</si>
  <si>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</si>
  <si>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</si>
  <si>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</si>
  <si>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</si>
  <si>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</si>
  <si>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</si>
  <si>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</si>
  <si>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</si>
  <si>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</si>
  <si>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</si>
  <si>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</si>
  <si>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</si>
  <si>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</si>
  <si>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</si>
  <si>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</si>
  <si>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</si>
  <si>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</si>
  <si>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</si>
  <si>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</si>
  <si>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</si>
  <si>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</si>
  <si>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</si>
  <si>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</si>
  <si>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</si>
  <si>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</si>
  <si>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</si>
  <si>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</si>
  <si>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</si>
  <si>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</si>
  <si>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</si>
  <si>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</si>
  <si>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</si>
  <si>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</si>
  <si>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</si>
  <si>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</si>
  <si>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</si>
  <si>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</si>
  <si>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</si>
  <si>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</si>
  <si>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</si>
  <si>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</si>
  <si>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</si>
  <si>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</si>
  <si>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</si>
  <si>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</si>
  <si>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</si>
  <si>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</si>
  <si>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</si>
  <si>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</si>
  <si>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</si>
  <si>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</si>
  <si>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</si>
  <si>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</si>
  <si>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</si>
  <si>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</si>
  <si>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</si>
  <si>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</si>
  <si>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</si>
  <si>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</si>
  <si>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</si>
  <si>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</si>
  <si>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</si>
  <si>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</si>
  <si>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</si>
  <si>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</si>
  <si>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</si>
  <si>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</si>
  <si>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</si>
  <si>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</si>
  <si>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</si>
  <si>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</si>
  <si>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</si>
  <si>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</si>
  <si>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</si>
  <si>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</si>
  <si>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</si>
  <si>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</si>
  <si>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</si>
  <si>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</si>
  <si>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</si>
  <si>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</si>
  <si>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</si>
  <si>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</si>
  <si>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</si>
  <si>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</si>
  <si>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</si>
  <si>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</si>
  <si>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</si>
  <si>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</si>
  <si>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</si>
  <si>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</si>
  <si>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</si>
  <si>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</si>
  <si>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</si>
  <si>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</si>
  <si>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</si>
  <si>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</si>
  <si>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</si>
  <si>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</si>
  <si>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</si>
  <si>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</si>
  <si>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</si>
  <si>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</si>
  <si>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</si>
  <si>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</si>
  <si>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</si>
  <si>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</si>
  <si>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</si>
  <si>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</si>
  <si>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</si>
  <si>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</si>
  <si>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</si>
  <si>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</si>
  <si>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</si>
  <si>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</si>
  <si>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</si>
  <si>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</si>
  <si>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</si>
  <si>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</si>
  <si>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</si>
  <si>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</si>
  <si>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</si>
  <si>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</si>
  <si>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</si>
  <si>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</si>
  <si>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</si>
  <si>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</si>
  <si>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</si>
  <si>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</si>
  <si>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</si>
  <si>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</si>
  <si>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</si>
  <si>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</si>
  <si>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</si>
  <si>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</si>
  <si>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</si>
  <si>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</si>
  <si>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</si>
  <si>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</si>
  <si>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</si>
  <si>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</si>
  <si>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</si>
  <si>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</si>
  <si>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</si>
  <si>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</si>
  <si>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</si>
  <si>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</si>
  <si>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</si>
  <si>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</si>
  <si>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</si>
  <si>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</si>
  <si>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</si>
  <si>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</si>
  <si>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</si>
  <si>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</si>
  <si>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</si>
  <si>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</si>
  <si>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</si>
  <si>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</si>
  <si>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</si>
  <si>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</si>
  <si>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</si>
  <si>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</si>
  <si>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</si>
  <si>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</si>
  <si>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</si>
  <si>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</si>
  <si>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</si>
  <si>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</si>
  <si>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</si>
  <si>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</si>
  <si>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</si>
  <si>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</si>
  <si>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</si>
  <si>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</si>
  <si>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</si>
  <si>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</si>
  <si>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</si>
  <si>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</si>
  <si>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</si>
  <si>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</si>
  <si>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</si>
  <si>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</si>
  <si>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</si>
  <si>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</si>
  <si>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</si>
  <si>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</si>
  <si>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</si>
  <si>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</si>
  <si>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</si>
  <si>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</si>
  <si>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</si>
  <si>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</si>
  <si>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</si>
  <si>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</si>
  <si>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</si>
  <si>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</si>
  <si>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</si>
  <si>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</si>
  <si>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</si>
  <si>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</si>
  <si>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</si>
  <si>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</si>
  <si>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</si>
  <si>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</si>
  <si>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</si>
  <si>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</si>
  <si>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</si>
  <si>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</si>
  <si>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</si>
  <si>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</si>
  <si>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</si>
  <si>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</si>
  <si>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</si>
  <si>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</si>
  <si>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</si>
  <si>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</si>
  <si>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</si>
  <si>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</si>
  <si>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</si>
  <si>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</si>
  <si>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</si>
  <si>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</si>
  <si>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</si>
  <si>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</si>
  <si>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</si>
  <si>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</si>
  <si>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</si>
  <si>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</si>
  <si>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</si>
  <si>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</si>
  <si>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</si>
  <si>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</si>
  <si>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</si>
  <si>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</si>
  <si>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</si>
  <si>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</si>
  <si>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</si>
  <si>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</si>
  <si>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</si>
  <si>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</si>
  <si>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</si>
  <si>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</si>
  <si>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</si>
  <si>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</si>
  <si>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</si>
  <si>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</si>
  <si>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</si>
  <si>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</si>
  <si>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</si>
  <si>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</si>
  <si>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</si>
  <si>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</si>
  <si>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</si>
  <si>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</si>
  <si>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</si>
  <si>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</si>
  <si>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</si>
  <si>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</si>
  <si>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</si>
  <si>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</si>
  <si>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</si>
  <si>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</si>
  <si>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</si>
  <si>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</si>
  <si>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</si>
  <si>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</si>
  <si>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</si>
  <si>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</si>
  <si>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</si>
  <si>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</si>
  <si>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</si>
  <si>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</si>
  <si>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</si>
  <si>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</si>
  <si>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</si>
  <si>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</si>
  <si>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</si>
  <si>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</si>
  <si>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</si>
  <si>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</si>
  <si>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</si>
  <si>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</si>
  <si>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</si>
  <si>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</si>
  <si>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</si>
  <si>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</si>
  <si>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</si>
  <si>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</si>
  <si>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</si>
  <si>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</si>
  <si>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</si>
  <si>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</si>
  <si>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</si>
  <si>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</si>
  <si>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</si>
  <si>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</si>
  <si>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</si>
  <si>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</si>
  <si>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</si>
  <si>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</si>
  <si>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</si>
  <si>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</si>
  <si>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</si>
  <si>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</si>
  <si>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</si>
  <si>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</si>
  <si>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</si>
  <si>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</si>
  <si>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</si>
  <si>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</si>
  <si>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</si>
  <si>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</si>
  <si>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</si>
  <si>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</si>
  <si>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</si>
  <si>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</si>
  <si>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</si>
  <si>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</si>
  <si>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</si>
  <si>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</si>
  <si>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</si>
  <si>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</si>
  <si>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</si>
  <si>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</si>
  <si>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</si>
  <si>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</si>
  <si>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</si>
  <si>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</si>
  <si>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</si>
  <si>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</si>
  <si>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</si>
  <si>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</si>
  <si>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</si>
  <si>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</si>
  <si>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</si>
  <si>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</si>
  <si>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</si>
  <si>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</si>
  <si>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</si>
  <si>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</si>
  <si>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</si>
  <si>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</si>
  <si>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</si>
  <si>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</si>
  <si>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</si>
  <si>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</si>
  <si>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</si>
  <si>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</si>
  <si>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</si>
  <si>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</si>
  <si>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</si>
  <si>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</si>
  <si>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</si>
  <si>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</si>
  <si>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</si>
  <si>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</si>
  <si>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</si>
  <si>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</si>
  <si>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</si>
  <si>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</si>
  <si>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</si>
  <si>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</si>
  <si>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</si>
  <si>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</si>
  <si>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</si>
  <si>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</si>
  <si>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</si>
  <si>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</si>
  <si>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</si>
  <si>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</si>
  <si>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</si>
  <si>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</si>
  <si>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</si>
  <si>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</si>
  <si>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</si>
  <si>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</si>
  <si>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</si>
  <si>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</si>
  <si>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</si>
  <si>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</si>
  <si>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</si>
  <si>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</si>
  <si>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</si>
  <si>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</si>
  <si>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</si>
  <si>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</si>
  <si>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</si>
  <si>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</si>
  <si>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</si>
  <si>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</si>
  <si>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</si>
  <si>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</si>
  <si>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</si>
  <si>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</si>
  <si>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</si>
  <si>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</si>
  <si>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</si>
  <si>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</si>
  <si>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</si>
  <si>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</si>
  <si>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</si>
  <si>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</si>
  <si>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</si>
  <si>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</si>
  <si>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</si>
  <si>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</si>
  <si>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</si>
  <si>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</si>
  <si>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</si>
  <si>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</si>
  <si>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</si>
  <si>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</si>
  <si>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</si>
  <si>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</si>
  <si>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</si>
  <si>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</si>
  <si>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</si>
  <si>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</si>
  <si>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</si>
  <si>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</si>
  <si>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</si>
  <si>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</si>
  <si>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</si>
  <si>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</si>
  <si>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</si>
  <si>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</si>
  <si>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</si>
  <si>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</si>
  <si>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</si>
  <si>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</si>
  <si>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</si>
  <si>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</si>
  <si>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</si>
  <si>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</si>
  <si>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</si>
  <si>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</si>
  <si>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</si>
  <si>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</si>
  <si>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</si>
  <si>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</si>
  <si>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</si>
  <si>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</si>
  <si>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</si>
  <si>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</si>
  <si>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</si>
  <si>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</si>
  <si>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</si>
  <si>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</si>
  <si>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</si>
  <si>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</si>
  <si>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</si>
  <si>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</si>
  <si>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</si>
  <si>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</si>
  <si>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</si>
  <si>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</si>
  <si>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</si>
  <si>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</si>
  <si>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</si>
  <si>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</si>
  <si>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</si>
  <si>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</si>
  <si>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</si>
  <si>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</si>
  <si>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</si>
  <si>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</si>
  <si>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</si>
  <si>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</si>
  <si>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</si>
  <si>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</si>
  <si>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</si>
  <si>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</si>
  <si>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</si>
  <si>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</si>
  <si>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</si>
  <si>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</si>
  <si>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</si>
  <si>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</si>
  <si>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</si>
  <si>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</si>
  <si>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</si>
  <si>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</si>
  <si>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</si>
  <si>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</si>
  <si>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</si>
  <si>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</si>
  <si>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</si>
  <si>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</si>
  <si>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</si>
  <si>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</si>
  <si>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</si>
  <si>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</si>
  <si>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</si>
  <si>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</si>
  <si>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</si>
  <si>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</si>
  <si>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</si>
  <si>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</si>
  <si>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</si>
  <si>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</si>
  <si>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</si>
  <si>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</si>
  <si>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</si>
  <si>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</si>
  <si>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</si>
  <si>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</si>
  <si>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</si>
  <si>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</si>
  <si>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</si>
  <si>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</si>
  <si>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</si>
  <si>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</si>
  <si>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</si>
  <si>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</si>
  <si>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</si>
  <si>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</si>
  <si>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</si>
  <si>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</si>
  <si>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</si>
  <si>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</si>
  <si>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</si>
  <si>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</si>
  <si>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</si>
  <si>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</si>
  <si>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</si>
  <si>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</si>
  <si>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</si>
  <si>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</si>
  <si>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</si>
  <si>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</si>
  <si>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</si>
  <si>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</si>
  <si>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</si>
  <si>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</si>
  <si>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</si>
  <si>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</si>
  <si>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</si>
  <si>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</si>
  <si>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</si>
  <si>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</si>
  <si>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</si>
  <si>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</si>
  <si>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</si>
  <si>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</si>
  <si>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</si>
  <si>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</si>
  <si>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</si>
  <si>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</si>
  <si>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</si>
  <si>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</si>
  <si>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</si>
  <si>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</si>
  <si>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</si>
  <si>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</si>
  <si>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</si>
  <si>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</si>
  <si>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</si>
  <si>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</si>
  <si>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</si>
  <si>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</si>
  <si>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</si>
  <si>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</si>
  <si>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</si>
  <si>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</si>
  <si>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</si>
  <si>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</si>
  <si>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</si>
  <si>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</si>
  <si>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</si>
  <si>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</si>
  <si>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</si>
  <si>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</si>
  <si>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</si>
  <si>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</si>
  <si>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</si>
  <si>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</si>
  <si>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</si>
  <si>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</si>
  <si>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</si>
  <si>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</si>
  <si>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</si>
  <si>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</si>
  <si>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</si>
  <si>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</si>
  <si>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</si>
  <si>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</si>
  <si>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</si>
  <si>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</si>
  <si>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</si>
  <si>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</si>
  <si>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</si>
  <si>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</si>
  <si>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</si>
  <si>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</si>
  <si>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</si>
  <si>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</si>
  <si>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</si>
  <si>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</si>
  <si>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</si>
  <si>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</si>
  <si>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</si>
  <si>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</si>
  <si>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</si>
  <si>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</si>
  <si>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</si>
  <si>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</si>
  <si>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</si>
  <si>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</si>
  <si>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</si>
  <si>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</si>
  <si>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</si>
  <si>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</si>
  <si>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</si>
  <si>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</si>
  <si>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</si>
  <si>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</si>
  <si>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</si>
  <si>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</si>
  <si>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</si>
  <si>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</si>
  <si>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</si>
  <si>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</si>
  <si>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</si>
  <si>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</si>
  <si>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</si>
  <si>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</si>
  <si>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</si>
  <si>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</si>
  <si>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</si>
  <si>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</si>
  <si>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</si>
  <si>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</si>
  <si>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</si>
  <si>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</si>
  <si>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</si>
  <si>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</si>
  <si>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</si>
  <si>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</si>
  <si>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</si>
  <si>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</si>
  <si>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</si>
  <si>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</si>
  <si>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</si>
  <si>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</si>
  <si>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</si>
  <si>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</si>
  <si>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</si>
  <si>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</si>
  <si>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</si>
  <si>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</si>
  <si>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</si>
  <si>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</si>
  <si>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</si>
  <si>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</si>
  <si>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</si>
  <si>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</si>
  <si>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</si>
  <si>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</si>
  <si>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</si>
  <si>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</si>
  <si>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</si>
  <si>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</si>
  <si>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</si>
  <si>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</si>
  <si>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</si>
  <si>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</si>
  <si>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</si>
  <si>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</si>
  <si>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</si>
  <si>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</si>
  <si>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</si>
  <si>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</si>
  <si>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</si>
  <si>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</si>
  <si>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</si>
  <si>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</si>
  <si>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</si>
  <si>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</si>
  <si>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</si>
  <si>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</si>
  <si>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</si>
  <si>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</si>
  <si>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</si>
  <si>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</si>
  <si>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</si>
  <si>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</si>
  <si>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</si>
  <si>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</si>
  <si>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</si>
  <si>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</si>
  <si>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</si>
  <si>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</si>
  <si>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</si>
  <si>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</si>
  <si>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</si>
  <si>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</si>
  <si>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</si>
  <si>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</si>
  <si>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</si>
  <si>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</si>
  <si>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</si>
  <si>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</si>
  <si>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</si>
  <si>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</si>
  <si>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</si>
  <si>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</si>
  <si>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</si>
  <si>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</si>
  <si>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</si>
  <si>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</si>
  <si>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</si>
  <si>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</si>
  <si>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</si>
  <si>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</si>
  <si>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</si>
  <si>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</si>
  <si>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</si>
  <si>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</si>
  <si>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</si>
  <si>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</si>
  <si>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</si>
  <si>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</si>
  <si>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</si>
  <si>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</si>
  <si>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</si>
  <si>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</si>
  <si>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</si>
  <si>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</si>
  <si>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</si>
  <si>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</si>
  <si>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</si>
  <si>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</si>
  <si>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</si>
  <si>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</si>
  <si>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</si>
  <si>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</si>
  <si>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</si>
  <si>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</si>
  <si>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</si>
  <si>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</si>
  <si>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</si>
  <si>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</si>
  <si>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</si>
  <si>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</si>
  <si>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</si>
  <si>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</si>
  <si>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</si>
  <si>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</si>
  <si>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</si>
  <si>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</si>
  <si>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</si>
  <si>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</si>
  <si>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</si>
  <si>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</si>
  <si>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</si>
  <si>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</si>
  <si>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</si>
  <si>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</si>
  <si>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</si>
  <si>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</si>
  <si>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</si>
  <si>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</si>
  <si>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</si>
  <si>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</si>
  <si>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</si>
  <si>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</si>
  <si>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</si>
  <si>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</si>
  <si>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</si>
  <si>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</si>
  <si>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</si>
  <si>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</si>
  <si>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</si>
  <si>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</si>
  <si>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</si>
  <si>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</si>
  <si>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</si>
  <si>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</si>
  <si>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</si>
  <si>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</si>
  <si>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</si>
  <si>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</si>
  <si>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</si>
  <si>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</si>
  <si>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</si>
  <si>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</si>
  <si>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</si>
  <si>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</si>
  <si>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</si>
  <si>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</si>
  <si>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</si>
  <si>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</si>
  <si>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</si>
  <si>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</si>
  <si>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</si>
  <si>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</si>
  <si>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</si>
  <si>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</si>
  <si>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</si>
  <si>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</si>
  <si>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</si>
  <si>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</si>
  <si>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</si>
  <si>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</si>
  <si>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</si>
  <si>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</si>
  <si>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</si>
  <si>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</si>
  <si>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</si>
  <si>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</si>
  <si>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</si>
  <si>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</si>
  <si>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</si>
  <si>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</si>
  <si>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</si>
  <si>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</si>
  <si>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</si>
  <si>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</si>
  <si>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</si>
  <si>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</si>
  <si>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</si>
  <si>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</si>
  <si>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</si>
  <si>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</si>
  <si>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</si>
  <si>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</si>
  <si>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</si>
  <si>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</si>
  <si>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</si>
  <si>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</si>
  <si>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</si>
  <si>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</si>
  <si>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</si>
  <si>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</si>
  <si>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</si>
  <si>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</si>
  <si>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</si>
  <si>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</si>
  <si>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</si>
  <si>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</si>
  <si>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</si>
  <si>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</si>
  <si>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</si>
  <si>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</si>
  <si>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</si>
  <si>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</si>
  <si>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</si>
  <si>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</si>
  <si>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</si>
  <si>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</si>
  <si>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</si>
  <si>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</si>
  <si>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</si>
  <si>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</si>
  <si>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</si>
  <si>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</si>
  <si>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</si>
  <si>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</si>
  <si>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</si>
  <si>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</si>
  <si>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</si>
  <si>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</si>
  <si>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</si>
  <si>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</si>
  <si>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</si>
  <si>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</si>
  <si>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</si>
  <si>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</si>
  <si>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</si>
  <si>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</si>
  <si>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</si>
  <si>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</si>
  <si>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</si>
  <si>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</si>
  <si>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</si>
  <si>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</si>
  <si>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</si>
  <si>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</si>
  <si>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</si>
  <si>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</si>
  <si>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</si>
  <si>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</si>
  <si>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</si>
  <si>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</si>
  <si>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</si>
  <si>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</si>
  <si>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</si>
  <si>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</si>
  <si>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</si>
  <si>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</si>
  <si>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</si>
  <si>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</si>
  <si>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</si>
  <si>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</si>
  <si>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</si>
  <si>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</si>
  <si>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</si>
  <si>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</si>
  <si>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</si>
  <si>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</si>
  <si>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</si>
  <si>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</si>
  <si>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</si>
  <si>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</si>
  <si>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</si>
  <si>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</si>
  <si>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</si>
  <si>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</si>
  <si>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</si>
  <si>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</si>
  <si>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</si>
  <si>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</si>
  <si>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</si>
  <si>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</si>
  <si>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</si>
  <si>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</si>
  <si>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</si>
  <si>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</si>
  <si>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</si>
  <si>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</si>
  <si>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</si>
  <si>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</si>
  <si>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</si>
  <si>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</si>
  <si>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</si>
  <si>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</si>
  <si>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</si>
  <si>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</si>
  <si>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</si>
  <si>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</si>
  <si>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</si>
  <si>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</si>
  <si>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</si>
  <si>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</si>
  <si>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</si>
  <si>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</si>
  <si>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</si>
  <si>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</si>
  <si>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</si>
  <si>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</si>
  <si>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</si>
  <si>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</si>
  <si>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</si>
  <si>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</si>
  <si>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</si>
  <si>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</si>
  <si>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</si>
  <si>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</si>
  <si>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</si>
  <si>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</si>
  <si>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</si>
  <si>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</si>
  <si>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</si>
  <si>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</si>
  <si>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</si>
  <si>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</si>
  <si>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</si>
  <si>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</si>
  <si>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</si>
  <si>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</si>
  <si>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</si>
  <si>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</si>
  <si>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</si>
  <si>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</si>
  <si>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</si>
  <si>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</si>
  <si>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</si>
  <si>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</si>
  <si>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</si>
  <si>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</si>
  <si>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</si>
  <si>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</si>
  <si>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</si>
  <si>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</si>
  <si>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</si>
  <si>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</si>
  <si>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</si>
  <si>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</si>
  <si>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</si>
  <si>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</si>
  <si>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</si>
  <si>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</si>
  <si>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</si>
  <si>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</si>
  <si>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</si>
  <si>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</si>
  <si>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</si>
  <si>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</si>
  <si>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</si>
  <si>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</si>
  <si>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</si>
  <si>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</si>
  <si>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</si>
  <si>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</si>
  <si>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</si>
  <si>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</si>
  <si>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</si>
  <si>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</si>
  <si>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</si>
  <si>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</si>
  <si>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</si>
  <si>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</si>
  <si>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</si>
  <si>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</si>
  <si>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</si>
  <si>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</si>
  <si>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</si>
  <si>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</si>
  <si>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</si>
  <si>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</si>
  <si>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</si>
  <si>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</si>
  <si>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</si>
  <si>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</si>
  <si>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</si>
  <si>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</si>
  <si>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</si>
  <si>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</si>
  <si>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</si>
  <si>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</si>
  <si>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</si>
  <si>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</si>
  <si>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</si>
  <si>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</si>
  <si>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</si>
  <si>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</si>
  <si>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</si>
  <si>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</si>
  <si>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</si>
  <si>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</si>
  <si>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</si>
  <si>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</si>
  <si>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</si>
  <si>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</si>
  <si>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</si>
  <si>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</si>
  <si>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</si>
  <si>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</si>
  <si>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</si>
  <si>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</si>
  <si>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</si>
  <si>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</si>
  <si>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</si>
  <si>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</si>
  <si>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</si>
  <si>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</si>
  <si>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</si>
  <si>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</si>
  <si>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</si>
  <si>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</si>
  <si>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</si>
  <si>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</si>
  <si>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</si>
  <si>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</si>
  <si>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</si>
  <si>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</si>
  <si>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</si>
  <si>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</si>
  <si>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</si>
  <si>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</si>
  <si>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</si>
  <si>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</si>
  <si>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</si>
  <si>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</si>
  <si>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</si>
  <si>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</si>
  <si>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</si>
  <si>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</si>
  <si>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</si>
  <si>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</si>
  <si>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</si>
  <si>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</si>
  <si>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</si>
  <si>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</si>
  <si>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</si>
  <si>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</si>
  <si>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</si>
  <si>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</si>
  <si>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</si>
  <si>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</si>
  <si>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</si>
  <si>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</si>
  <si>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</si>
  <si>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</si>
  <si>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</si>
  <si>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</si>
  <si>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</si>
  <si>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</si>
  <si>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</si>
  <si>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</si>
  <si>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</si>
  <si>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</si>
  <si>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</si>
  <si>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</si>
  <si>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</si>
  <si>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</si>
  <si>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</si>
  <si>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</si>
  <si>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</si>
  <si>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</si>
  <si>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</si>
  <si>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</si>
  <si>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</si>
  <si>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</si>
  <si>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</si>
  <si>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</si>
  <si>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</si>
  <si>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</si>
  <si>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</si>
  <si>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</si>
  <si>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</si>
  <si>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</si>
  <si>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</si>
  <si>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</si>
  <si>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</si>
  <si>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</si>
  <si>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</si>
  <si>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</si>
  <si>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</si>
  <si>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</si>
  <si>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</si>
  <si>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</si>
  <si>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</si>
  <si>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</si>
  <si>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</si>
  <si>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</si>
  <si>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</si>
  <si>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</si>
  <si>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</si>
  <si>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</si>
  <si>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</si>
  <si>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</si>
  <si>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</si>
  <si>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</si>
  <si>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</si>
  <si>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</si>
  <si>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</si>
  <si>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</si>
  <si>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</si>
  <si>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</si>
  <si>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</si>
  <si>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</si>
  <si>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</si>
  <si>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</si>
  <si>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</si>
  <si>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</si>
  <si>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</si>
  <si>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</si>
  <si>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</si>
  <si>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</si>
  <si>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</si>
  <si>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</si>
  <si>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</si>
  <si>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</si>
  <si>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</si>
  <si>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</si>
  <si>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</si>
  <si>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</si>
  <si>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</si>
  <si>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</si>
  <si>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</si>
  <si>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</si>
  <si>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</si>
  <si>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</si>
  <si>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</si>
  <si>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</si>
  <si>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</si>
  <si>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</si>
  <si>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</si>
  <si>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</si>
  <si>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</si>
  <si>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</si>
  <si>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</si>
  <si>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</si>
  <si>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</si>
  <si>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</si>
  <si>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</si>
  <si>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</si>
  <si>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</si>
  <si>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</si>
  <si>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</si>
  <si>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</si>
  <si>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</si>
  <si>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</si>
  <si>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</si>
  <si>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</si>
  <si>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</si>
  <si>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</si>
  <si>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</si>
  <si>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</si>
  <si>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</si>
  <si>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</si>
  <si>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</si>
  <si>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</si>
  <si>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</si>
  <si>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</si>
  <si>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</si>
  <si>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</si>
  <si>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</si>
  <si>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</si>
  <si>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</si>
  <si>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</si>
  <si>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</si>
  <si>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</si>
  <si>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</si>
  <si>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</si>
  <si>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</si>
  <si>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</si>
  <si>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</si>
  <si>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</si>
  <si>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</si>
  <si>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</si>
  <si>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</si>
  <si>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</si>
  <si>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</si>
  <si>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</si>
  <si>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</si>
  <si>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</si>
  <si>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</si>
  <si>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</si>
  <si>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</si>
  <si>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</si>
  <si>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</si>
  <si>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</si>
  <si>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</si>
  <si>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</si>
  <si>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</si>
  <si>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</si>
  <si>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</si>
  <si>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</si>
  <si>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</si>
  <si>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</si>
  <si>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</si>
  <si>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</si>
  <si>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</si>
  <si>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</si>
  <si>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</si>
  <si>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</si>
  <si>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</si>
  <si>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</si>
  <si>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</si>
  <si>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</si>
  <si>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</si>
  <si>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</si>
  <si>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</si>
  <si>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</si>
  <si>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</si>
  <si>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</si>
  <si>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</si>
  <si>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</si>
  <si>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</si>
  <si>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</si>
  <si>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</si>
  <si>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</si>
  <si>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</si>
  <si>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</si>
  <si>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</si>
  <si>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</si>
  <si>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</si>
  <si>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</si>
  <si>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</si>
  <si>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</si>
  <si>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</si>
  <si>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</si>
  <si>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</si>
  <si>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</si>
  <si>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</si>
  <si>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</si>
  <si>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</si>
  <si>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</si>
  <si>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</si>
  <si>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</si>
  <si>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</si>
  <si>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</si>
  <si>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</si>
  <si>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</si>
  <si>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</si>
  <si>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</si>
  <si>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</si>
  <si>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</si>
  <si>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</si>
  <si>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</si>
  <si>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</si>
  <si>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</si>
  <si>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</si>
  <si>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</si>
  <si>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</si>
  <si>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</si>
  <si>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</si>
  <si>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</si>
  <si>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</si>
  <si>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</si>
  <si>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</si>
  <si>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</si>
  <si>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</si>
  <si>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</si>
  <si>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</si>
  <si>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</si>
  <si>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</si>
  <si>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</si>
  <si>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</si>
  <si>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</si>
  <si>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</si>
  <si>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</si>
  <si>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</si>
  <si>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</si>
  <si>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</si>
  <si>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</si>
  <si>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</si>
  <si>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</si>
  <si>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</si>
  <si>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</si>
  <si>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</si>
  <si>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</si>
  <si>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</si>
  <si>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</si>
  <si>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</si>
  <si>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</si>
  <si>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</si>
  <si>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</si>
  <si>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</si>
  <si>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</si>
  <si>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</si>
  <si>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</si>
  <si>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</si>
  <si>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</si>
  <si>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</si>
  <si>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</si>
  <si>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</si>
  <si>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</si>
  <si>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</si>
  <si>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</si>
  <si>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</si>
  <si>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</si>
  <si>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</si>
  <si>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</si>
  <si>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</si>
  <si>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</si>
  <si>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</si>
  <si>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</si>
  <si>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</si>
  <si>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</si>
  <si>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</si>
  <si>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</si>
  <si>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</si>
  <si>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</si>
  <si>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</si>
  <si>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</si>
  <si>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</si>
  <si>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</si>
  <si>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</si>
  <si>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</si>
  <si>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</si>
  <si>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</si>
  <si>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</si>
  <si>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</si>
  <si>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</si>
  <si>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</si>
  <si>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</si>
  <si>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</si>
  <si>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</si>
  <si>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</si>
  <si>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</si>
  <si>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</si>
  <si>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</si>
  <si>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</si>
  <si>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</si>
  <si>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</si>
  <si>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</si>
  <si>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</si>
  <si>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</si>
  <si>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</si>
  <si>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</si>
  <si>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</si>
  <si>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</si>
  <si>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</si>
  <si>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</si>
  <si>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</si>
  <si>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</si>
  <si>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</si>
  <si>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</si>
  <si>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</si>
  <si>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</si>
  <si>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</si>
  <si>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</si>
  <si>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</si>
  <si>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</si>
  <si>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</si>
  <si>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</si>
  <si>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</si>
  <si>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</si>
  <si>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</si>
  <si>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</si>
  <si>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</si>
  <si>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</si>
  <si>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</si>
  <si>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</si>
  <si>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</si>
  <si>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</si>
  <si>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</si>
  <si>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</si>
  <si>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</si>
  <si>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</si>
  <si>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</si>
  <si>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</si>
  <si>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</si>
  <si>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</si>
  <si>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</si>
  <si>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</si>
  <si>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</si>
  <si>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</si>
  <si>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</si>
  <si>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</si>
  <si>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</si>
  <si>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</si>
  <si>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</si>
  <si>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</si>
  <si>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</si>
  <si>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</si>
  <si>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</si>
  <si>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</si>
  <si>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</si>
  <si>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</si>
  <si>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</si>
  <si>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</si>
  <si>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</si>
  <si>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</si>
  <si>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</si>
  <si>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</si>
  <si>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</si>
  <si>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</si>
  <si>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</si>
  <si>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</si>
  <si>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</si>
  <si>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</si>
  <si>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</si>
  <si>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</si>
  <si>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</si>
  <si>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</si>
  <si>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</si>
  <si>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</si>
  <si>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</si>
  <si>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</si>
  <si>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</si>
  <si>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</si>
  <si>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</si>
  <si>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</si>
  <si>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</si>
  <si>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</si>
  <si>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</si>
  <si>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</si>
  <si>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</si>
  <si>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</si>
  <si>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</si>
  <si>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</si>
  <si>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</si>
  <si>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</si>
  <si>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</si>
  <si>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</si>
  <si>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</si>
  <si>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</si>
  <si>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</si>
  <si>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</si>
  <si>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</si>
  <si>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</si>
  <si>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</si>
  <si>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</si>
  <si>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</si>
  <si>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</si>
  <si>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</si>
  <si>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</si>
  <si>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</si>
  <si>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</si>
  <si>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</si>
  <si>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</si>
  <si>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</si>
  <si>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</si>
  <si>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</si>
  <si>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</si>
  <si>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</si>
  <si>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</si>
  <si>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</si>
  <si>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</si>
  <si>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</si>
  <si>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</si>
  <si>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</si>
  <si>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</si>
  <si>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</si>
  <si>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</si>
  <si>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</si>
  <si>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</si>
  <si>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</si>
  <si>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</si>
  <si>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</si>
  <si>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</si>
  <si>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</si>
  <si>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</si>
  <si>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</si>
  <si>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</si>
  <si>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</si>
  <si>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</si>
  <si>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</si>
  <si>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</si>
  <si>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</si>
  <si>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</si>
  <si>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</si>
  <si>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</si>
  <si>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</si>
  <si>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</si>
  <si>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</si>
  <si>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</si>
  <si>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</si>
  <si>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</si>
  <si>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</si>
  <si>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</si>
  <si>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</si>
  <si>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</si>
  <si>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</si>
  <si>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</si>
  <si>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</si>
  <si>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</si>
  <si>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</si>
  <si>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</si>
  <si>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</si>
  <si>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</si>
  <si>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</si>
  <si>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</si>
  <si>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</si>
  <si>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</si>
  <si>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</si>
  <si>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</si>
  <si>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</si>
  <si>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</si>
  <si>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</si>
  <si>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</si>
  <si>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</si>
  <si>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</si>
  <si>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</si>
  <si>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</si>
  <si>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</si>
  <si>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</si>
  <si>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</si>
  <si>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</si>
  <si>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</si>
  <si>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</si>
  <si>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</si>
  <si>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</si>
  <si>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</si>
  <si>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</si>
  <si>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</si>
  <si>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</si>
  <si>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</si>
  <si>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</si>
  <si>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</si>
  <si>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</si>
  <si>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</si>
  <si>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</si>
  <si>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</si>
  <si>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</si>
  <si>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</si>
  <si>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</si>
  <si>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</si>
  <si>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</si>
  <si>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</si>
  <si>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</si>
  <si>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</si>
  <si>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</si>
  <si>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</si>
  <si>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</si>
  <si>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</si>
  <si>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</si>
  <si>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</si>
  <si>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</si>
  <si>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</si>
  <si>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</si>
  <si>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</si>
  <si>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</si>
  <si>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</si>
  <si>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</si>
  <si>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</si>
  <si>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</si>
  <si>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</si>
  <si>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</si>
  <si>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</si>
  <si>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</si>
  <si>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</si>
  <si>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</si>
  <si>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</si>
  <si>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</si>
  <si>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</si>
  <si>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</si>
  <si>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</si>
  <si>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</si>
  <si>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</si>
  <si>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</si>
  <si>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</si>
  <si>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</si>
  <si>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</si>
  <si>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</si>
  <si>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</si>
  <si>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</si>
  <si>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</si>
  <si>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</si>
  <si>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</si>
  <si>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</si>
  <si>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</si>
  <si>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</si>
  <si>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</si>
  <si>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</si>
  <si>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</si>
  <si>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</si>
  <si>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</si>
  <si>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</si>
  <si>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</si>
  <si>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</si>
  <si>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</si>
  <si>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</si>
  <si>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</si>
  <si>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</si>
  <si>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</si>
  <si>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</si>
  <si>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</si>
  <si>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</si>
  <si>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</si>
  <si>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</si>
  <si>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</si>
  <si>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</si>
  <si>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</si>
  <si>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</si>
  <si>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</si>
  <si>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</si>
  <si>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</si>
  <si>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</si>
  <si>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</si>
  <si>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</si>
  <si>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</si>
  <si>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</si>
  <si>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</si>
  <si>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</si>
  <si>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</si>
  <si>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</si>
  <si>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</si>
  <si>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</si>
  <si>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</si>
  <si>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</si>
  <si>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</si>
  <si>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</si>
  <si>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</si>
  <si>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</si>
  <si>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</si>
  <si>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</si>
  <si>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</si>
  <si>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</si>
  <si>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</si>
  <si>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</si>
  <si>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</si>
  <si>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</si>
  <si>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</si>
  <si>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</si>
  <si>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</si>
  <si>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</si>
  <si>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</si>
  <si>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</si>
  <si>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</si>
  <si>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</si>
  <si>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</si>
  <si>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</si>
  <si>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</si>
  <si>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</si>
  <si>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</si>
  <si>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</si>
  <si>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</si>
  <si>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</si>
  <si>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</si>
  <si>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</si>
  <si>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</si>
  <si>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</si>
  <si>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</si>
  <si>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</si>
  <si>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</si>
  <si>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</si>
  <si>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</si>
  <si>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</si>
  <si>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</si>
  <si>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</si>
  <si>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</si>
  <si>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</si>
  <si>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</si>
  <si>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</si>
  <si>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</si>
  <si>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</si>
  <si>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</si>
  <si>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</si>
  <si>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</si>
  <si>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</si>
  <si>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</si>
  <si>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</si>
  <si>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</si>
  <si>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</si>
  <si>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</si>
  <si>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</si>
  <si>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</si>
  <si>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</si>
  <si>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</si>
  <si>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</si>
  <si>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</si>
  <si>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</si>
  <si>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</si>
  <si>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</si>
  <si>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</si>
  <si>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</si>
  <si>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</si>
  <si>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</si>
  <si>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</si>
  <si>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</si>
  <si>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</si>
  <si>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</si>
  <si>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</si>
  <si>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</si>
  <si>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</si>
  <si>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</si>
  <si>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</si>
  <si>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</si>
  <si>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</si>
  <si>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</si>
  <si>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</si>
  <si>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</si>
  <si>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</si>
  <si>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</si>
  <si>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</si>
  <si>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</si>
  <si>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</si>
  <si>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</si>
  <si>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</si>
  <si>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</si>
  <si>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</si>
  <si>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</si>
  <si>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</si>
  <si>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</si>
  <si>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</si>
  <si>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</si>
  <si>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</si>
  <si>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</si>
  <si>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</si>
  <si>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</si>
  <si>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</si>
  <si>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</si>
  <si>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</si>
  <si>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</si>
  <si>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</si>
  <si>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</si>
  <si>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</si>
  <si>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</si>
  <si>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</si>
  <si>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</si>
  <si>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</si>
  <si>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</si>
  <si>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</si>
  <si>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</si>
  <si>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</si>
  <si>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</si>
  <si>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</si>
  <si>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</si>
  <si>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</si>
  <si>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</si>
  <si>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</si>
  <si>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</si>
  <si>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</si>
  <si>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</si>
  <si>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</si>
  <si>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</si>
  <si>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</si>
  <si>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</si>
  <si>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</si>
  <si>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</si>
  <si>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</si>
  <si>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</si>
  <si>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</si>
  <si>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</si>
  <si>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</si>
  <si>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</si>
  <si>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</si>
  <si>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</si>
  <si>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</si>
  <si>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</si>
  <si>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</si>
  <si>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</si>
  <si>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</si>
  <si>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</si>
  <si>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</si>
  <si>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</si>
  <si>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</si>
  <si>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</si>
  <si>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</si>
  <si>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</si>
  <si>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</si>
  <si>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</si>
  <si>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</si>
  <si>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</si>
  <si>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</si>
  <si>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</si>
  <si>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</si>
  <si>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</si>
  <si>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</si>
  <si>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</si>
  <si>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</si>
  <si>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</si>
  <si>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</si>
  <si>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</si>
  <si>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</si>
  <si>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</si>
  <si>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</si>
  <si>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</si>
  <si>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</si>
  <si>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</si>
  <si>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</si>
  <si>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</si>
  <si>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</si>
  <si>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</si>
  <si>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</si>
  <si>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</si>
  <si>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</si>
  <si>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</si>
  <si>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</si>
  <si>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</si>
  <si>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</si>
  <si>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</si>
  <si>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</si>
  <si>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</si>
  <si>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</si>
  <si>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</si>
  <si>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</si>
  <si>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</si>
  <si>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</si>
  <si>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</si>
  <si>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</si>
  <si>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</si>
  <si>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</si>
  <si>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</si>
  <si>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</si>
  <si>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</si>
  <si>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</si>
  <si>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</si>
  <si>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</si>
  <si>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</si>
  <si>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</si>
  <si>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</si>
  <si>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</si>
  <si>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</si>
  <si>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</si>
  <si>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</si>
  <si>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</si>
  <si>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</si>
  <si>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</si>
  <si>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</si>
  <si>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</si>
  <si>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</si>
  <si>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</si>
  <si>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</si>
  <si>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</si>
  <si>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</si>
  <si>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</si>
  <si>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</si>
  <si>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</si>
  <si>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</si>
  <si>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</si>
  <si>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</si>
  <si>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</si>
  <si>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</si>
  <si>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</si>
  <si>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</si>
  <si>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</si>
  <si>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</si>
  <si>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</si>
  <si>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</si>
  <si>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</si>
  <si>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</si>
  <si>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</si>
  <si>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</si>
  <si>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</si>
  <si>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</si>
  <si>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</si>
  <si>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</si>
  <si>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</si>
  <si>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</si>
  <si>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</si>
  <si>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</si>
  <si>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</si>
  <si>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</si>
  <si>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</si>
  <si>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</si>
  <si>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</si>
  <si>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</si>
  <si>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</si>
  <si>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</si>
  <si>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</si>
  <si>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</si>
  <si>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</si>
  <si>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</si>
  <si>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</si>
  <si>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</si>
  <si>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</si>
  <si>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</si>
  <si>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</si>
  <si>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</si>
  <si>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</si>
  <si>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</si>
  <si>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</si>
  <si>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</si>
  <si>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</si>
  <si>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</si>
  <si>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</si>
  <si>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</si>
  <si>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</si>
  <si>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</si>
  <si>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</si>
  <si>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</si>
  <si>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</si>
  <si>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</si>
  <si>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</si>
  <si>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</si>
  <si>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</si>
  <si>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</si>
  <si>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</si>
  <si>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</si>
  <si>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</si>
  <si>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</si>
  <si>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</si>
  <si>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</si>
  <si>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</si>
  <si>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</si>
  <si>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</si>
  <si>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</si>
  <si>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</si>
  <si>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</si>
  <si>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</si>
  <si>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</si>
  <si>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</si>
  <si>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</si>
  <si>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</si>
  <si>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</si>
  <si>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</si>
  <si>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</si>
  <si>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</si>
  <si>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</si>
  <si>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</si>
  <si>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</si>
  <si>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</si>
  <si>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</si>
  <si>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</si>
  <si>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</si>
  <si>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</si>
  <si>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</si>
  <si>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</si>
  <si>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</si>
  <si>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</si>
  <si>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</si>
  <si>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</si>
  <si>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</si>
  <si>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</si>
  <si>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</si>
  <si>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</si>
  <si>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</si>
  <si>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</si>
  <si>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</si>
  <si>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</si>
  <si>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</si>
  <si>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</si>
  <si>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</si>
  <si>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</si>
  <si>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</si>
  <si>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</si>
  <si>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</si>
  <si>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</si>
  <si>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</si>
  <si>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</si>
  <si>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</si>
  <si>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</si>
  <si>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</si>
  <si>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</si>
  <si>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</si>
  <si>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</si>
  <si>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</si>
  <si>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</si>
  <si>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</si>
  <si>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</si>
  <si>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</si>
  <si>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</si>
  <si>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</si>
  <si>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</si>
  <si>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</si>
  <si>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</si>
  <si>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</si>
  <si>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</si>
  <si>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</si>
  <si>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</si>
  <si>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</si>
  <si>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</si>
  <si>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</si>
  <si>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</si>
  <si>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</si>
  <si>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</si>
  <si>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</si>
  <si>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</si>
  <si>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</si>
  <si>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</si>
  <si>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</si>
  <si>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</si>
  <si>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</si>
  <si>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</si>
  <si>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</si>
  <si>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</si>
  <si>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</si>
  <si>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</si>
  <si>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</si>
  <si>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</si>
  <si>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</si>
  <si>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</si>
  <si>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</si>
  <si>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</si>
  <si>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</si>
  <si>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</si>
  <si>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</si>
  <si>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</si>
  <si>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</si>
  <si>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</si>
  <si>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</si>
  <si>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</si>
  <si>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</si>
  <si>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</si>
  <si>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</si>
  <si>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</si>
  <si>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</si>
  <si>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</si>
  <si>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</si>
  <si>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</si>
  <si>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</si>
  <si>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</si>
  <si>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</si>
  <si>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</si>
  <si>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</si>
  <si>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</si>
  <si>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</si>
  <si>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</si>
  <si>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</si>
  <si>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</si>
  <si>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</si>
  <si>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</si>
  <si>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</si>
  <si>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</si>
  <si>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</si>
  <si>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</si>
  <si>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</si>
  <si>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</si>
  <si>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</si>
  <si>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</si>
  <si>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</si>
  <si>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</si>
  <si>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</si>
  <si>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</si>
  <si>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</si>
  <si>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</si>
  <si>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</si>
  <si>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</si>
  <si>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</si>
  <si>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</si>
  <si>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</si>
  <si>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</si>
  <si>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</si>
  <si>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</si>
  <si>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</si>
  <si>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</si>
  <si>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</si>
  <si>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</si>
  <si>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</si>
  <si>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</si>
  <si>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</si>
  <si>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</si>
  <si>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</si>
  <si>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</si>
  <si>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</si>
  <si>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</si>
  <si>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</si>
  <si>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</si>
  <si>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</si>
  <si>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</si>
  <si>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</si>
  <si>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</si>
  <si>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</si>
  <si>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</si>
  <si>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</si>
  <si>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</si>
  <si>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</si>
  <si>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</si>
  <si>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</si>
  <si>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</si>
  <si>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</si>
  <si>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</si>
  <si>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</si>
  <si>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</si>
  <si>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</si>
  <si>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</si>
  <si>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</si>
  <si>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</si>
  <si>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</si>
  <si>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</si>
  <si>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</si>
  <si>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</si>
  <si>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</si>
  <si>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</si>
  <si>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</si>
  <si>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</si>
  <si>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</si>
  <si>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</si>
  <si>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</si>
  <si>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</si>
  <si>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</si>
  <si>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</si>
  <si>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</si>
  <si>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</si>
  <si>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</si>
  <si>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</si>
  <si>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</si>
  <si>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</si>
  <si>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</si>
  <si>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</si>
  <si>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</si>
  <si>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</si>
  <si>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</si>
  <si>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</si>
  <si>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</si>
  <si>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</si>
  <si>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</si>
  <si>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</si>
  <si>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</si>
  <si>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</si>
  <si>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</si>
  <si>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</si>
  <si>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</si>
  <si>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</si>
  <si>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</si>
  <si>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</si>
  <si>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</si>
  <si>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</si>
  <si>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</si>
  <si>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</si>
  <si>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</si>
  <si>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</si>
  <si>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</si>
  <si>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</si>
  <si>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</si>
  <si>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</si>
  <si>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</si>
  <si>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</si>
  <si>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</si>
  <si>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</si>
  <si>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</si>
  <si>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</si>
  <si>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</si>
  <si>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</si>
  <si>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</si>
  <si>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</si>
  <si>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</si>
  <si>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</si>
  <si>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</si>
  <si>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</si>
  <si>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</si>
  <si>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</si>
  <si>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</si>
  <si>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</si>
  <si>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</si>
  <si>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</si>
  <si>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</si>
  <si>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</si>
  <si>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</si>
  <si>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</si>
  <si>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</si>
  <si>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</si>
  <si>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</si>
  <si>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</si>
  <si>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</si>
  <si>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</si>
  <si>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</si>
  <si>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</si>
  <si>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</si>
  <si>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</si>
  <si>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</si>
  <si>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</si>
  <si>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</si>
  <si>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</si>
  <si>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</si>
  <si>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</si>
  <si>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</si>
  <si>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</si>
  <si>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</si>
  <si>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</si>
  <si>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</si>
  <si>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</si>
  <si>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</si>
  <si>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</si>
  <si>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</si>
  <si>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</si>
  <si>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</si>
  <si>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</si>
  <si>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</si>
  <si>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</si>
  <si>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</si>
  <si>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</si>
  <si>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</si>
  <si>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</si>
  <si>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</si>
  <si>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</si>
  <si>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</si>
  <si>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</si>
  <si>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</si>
  <si>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</si>
  <si>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</si>
  <si>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</si>
  <si>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</si>
  <si>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</si>
  <si>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</si>
  <si>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</si>
  <si>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</si>
  <si>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</si>
  <si>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</si>
  <si>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</si>
  <si>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</si>
  <si>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</si>
  <si>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</si>
  <si>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</si>
  <si>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</si>
  <si>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</si>
  <si>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</si>
  <si>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</si>
  <si>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</si>
  <si>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</si>
  <si>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</si>
  <si>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</si>
  <si>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</si>
  <si>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</si>
  <si>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</si>
  <si>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</si>
  <si>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</si>
  <si>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</si>
  <si>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</si>
  <si>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</si>
  <si>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</si>
  <si>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</si>
  <si>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</si>
  <si>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</si>
  <si>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</si>
  <si>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</si>
  <si>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</si>
  <si>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</si>
  <si>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</si>
  <si>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</si>
  <si>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</si>
  <si>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</si>
  <si>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</si>
  <si>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</si>
  <si>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</si>
  <si>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</si>
  <si>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</si>
  <si>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</si>
  <si>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</si>
  <si>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</si>
  <si>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</si>
  <si>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</si>
  <si>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</si>
  <si>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</si>
  <si>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</si>
  <si>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</si>
  <si>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</si>
  <si>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</si>
  <si>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</si>
  <si>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</si>
  <si>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</si>
  <si>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</si>
  <si>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</si>
  <si>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</si>
  <si>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</si>
  <si>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</si>
  <si>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</si>
  <si>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</si>
  <si>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</si>
  <si>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</si>
  <si>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</si>
  <si>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</si>
  <si>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</si>
  <si>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</si>
  <si>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</si>
  <si>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</si>
  <si>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</si>
  <si>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</si>
  <si>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</si>
  <si>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</si>
  <si>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</si>
  <si>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</si>
  <si>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</si>
  <si>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</si>
  <si>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</si>
  <si>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</si>
  <si>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</si>
  <si>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</si>
  <si>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</si>
  <si>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</si>
  <si>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</si>
  <si>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</si>
  <si>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</si>
  <si>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</si>
  <si>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</si>
  <si>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</si>
  <si>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</si>
  <si>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</si>
  <si>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</si>
  <si>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</si>
  <si>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</si>
  <si>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</si>
  <si>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</si>
  <si>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</si>
  <si>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</si>
  <si>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</si>
  <si>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</si>
  <si>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</si>
  <si>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</si>
  <si>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</si>
  <si>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</si>
  <si>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</si>
  <si>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</si>
  <si>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</si>
  <si>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</si>
  <si>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</si>
  <si>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</si>
  <si>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</si>
  <si>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</si>
  <si>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</si>
  <si>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</si>
  <si>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</si>
  <si>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</si>
  <si>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</si>
  <si>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</si>
  <si>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</si>
  <si>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</si>
  <si>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</si>
  <si>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</si>
  <si>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</si>
  <si>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</si>
  <si>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</si>
  <si>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</si>
  <si>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</si>
  <si>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</si>
  <si>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</si>
  <si>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</si>
  <si>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</si>
  <si>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</si>
  <si>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</si>
  <si>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</si>
  <si>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</si>
  <si>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</si>
  <si>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</si>
  <si>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</si>
  <si>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</si>
  <si>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</si>
  <si>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</si>
  <si>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</si>
  <si>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</si>
  <si>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</si>
  <si>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</si>
  <si>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</si>
  <si>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</si>
  <si>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</si>
  <si>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</si>
  <si>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</si>
  <si>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</si>
  <si>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</si>
  <si>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</si>
  <si>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</si>
  <si>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</si>
  <si>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</si>
  <si>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</si>
  <si>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</si>
  <si>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</si>
  <si>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</si>
  <si>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</si>
  <si>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</si>
  <si>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</si>
  <si>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</si>
  <si>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</si>
  <si>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</si>
  <si>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</si>
  <si>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</si>
  <si>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</si>
  <si>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</si>
  <si>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</si>
  <si>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</si>
  <si>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</si>
  <si>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</si>
  <si>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</si>
  <si>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</si>
  <si>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</si>
  <si>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</si>
  <si>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</si>
  <si>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</si>
  <si>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</si>
  <si>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</si>
  <si>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</si>
  <si>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</si>
  <si>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</si>
  <si>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</si>
  <si>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</si>
  <si>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</si>
  <si>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</si>
  <si>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</si>
  <si>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</si>
  <si>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</si>
  <si>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</si>
  <si>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</si>
  <si>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</si>
  <si>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</si>
  <si>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</si>
  <si>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</si>
  <si>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</si>
  <si>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</si>
  <si>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</si>
  <si>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</si>
  <si>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</si>
  <si>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</si>
  <si>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</si>
  <si>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</si>
  <si>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</si>
  <si>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</si>
  <si>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</si>
  <si>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</si>
  <si>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</si>
  <si>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</si>
  <si>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</si>
  <si>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</si>
  <si>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</si>
  <si>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</si>
  <si>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</si>
  <si>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</si>
  <si>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</si>
  <si>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</si>
  <si>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</si>
  <si>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</si>
  <si>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</si>
  <si>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</si>
  <si>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</si>
  <si>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</si>
  <si>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</si>
  <si>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</si>
  <si>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</si>
  <si>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</si>
  <si>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</si>
  <si>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</si>
  <si>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</si>
  <si>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</si>
  <si>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</si>
  <si>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</si>
  <si>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</si>
  <si>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</si>
  <si>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</si>
  <si>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</si>
  <si>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</si>
  <si>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</si>
  <si>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</si>
  <si>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</si>
  <si>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</si>
  <si>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</si>
  <si>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</si>
  <si>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</si>
  <si>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</si>
  <si>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</si>
  <si>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</si>
  <si>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</si>
  <si>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</si>
  <si>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</si>
  <si>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</si>
  <si>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</si>
  <si>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</si>
  <si>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</si>
  <si>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</si>
  <si>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</si>
  <si>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</si>
  <si>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</si>
  <si>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</si>
  <si>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</si>
  <si>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</si>
  <si>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</si>
  <si>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</si>
  <si>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</si>
  <si>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</si>
  <si>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</si>
  <si>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</si>
  <si>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</si>
  <si>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</si>
  <si>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</si>
  <si>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</si>
  <si>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</si>
  <si>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</si>
  <si>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</si>
  <si>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</si>
  <si>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</si>
  <si>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</si>
  <si>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</si>
  <si>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</si>
  <si>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</si>
  <si>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</si>
  <si>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</si>
  <si>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</si>
  <si>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</si>
  <si>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</si>
  <si>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</si>
  <si>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</si>
  <si>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</si>
  <si>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</si>
  <si>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</si>
  <si>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</si>
  <si>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</si>
  <si>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</si>
  <si>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</si>
  <si>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</si>
  <si>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</si>
  <si>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</si>
  <si>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</si>
  <si>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</si>
  <si>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</si>
  <si>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</si>
  <si>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</si>
  <si>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</si>
  <si>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</si>
  <si>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</si>
  <si>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</si>
  <si>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</si>
  <si>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</si>
  <si>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</si>
  <si>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</si>
  <si>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</si>
  <si>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</si>
  <si>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</si>
  <si>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</si>
  <si>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</si>
  <si>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</si>
  <si>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</si>
  <si>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</si>
  <si>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</si>
  <si>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</si>
  <si>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</si>
  <si>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</si>
  <si>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</si>
  <si>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</si>
  <si>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</si>
  <si>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</si>
  <si>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</si>
  <si>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</si>
  <si>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</si>
  <si>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</si>
  <si>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</si>
  <si>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</si>
  <si>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</si>
  <si>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</si>
  <si>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</si>
  <si>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</si>
  <si>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</si>
  <si>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</si>
  <si>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</si>
  <si>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</si>
  <si>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</si>
  <si>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</si>
  <si>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</si>
  <si>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</si>
  <si>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</si>
  <si>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</si>
  <si>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</si>
  <si>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</si>
  <si>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</si>
  <si>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</si>
  <si>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</si>
  <si>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</si>
  <si>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</si>
  <si>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</si>
  <si>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</si>
  <si>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</si>
  <si>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</si>
  <si>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</si>
  <si>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</si>
  <si>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</si>
  <si>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</si>
  <si>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</si>
  <si>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</si>
  <si>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</si>
  <si>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</si>
  <si>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</si>
  <si>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</si>
  <si>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</si>
  <si>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</si>
  <si>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</si>
  <si>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</si>
  <si>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</si>
  <si>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</si>
  <si>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</si>
  <si>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</si>
  <si>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</si>
  <si>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</si>
  <si>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</si>
  <si>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</si>
  <si>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</si>
  <si>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</si>
  <si>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</si>
  <si>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</si>
  <si>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</si>
  <si>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</si>
  <si>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</si>
  <si>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</si>
  <si>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</si>
  <si>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</si>
  <si>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</si>
  <si>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</si>
  <si>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</si>
  <si>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</si>
  <si>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</si>
  <si>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</si>
  <si>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</si>
  <si>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</si>
  <si>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</si>
  <si>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</si>
  <si>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</si>
  <si>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</si>
  <si>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</si>
  <si>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</si>
  <si>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</si>
  <si>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</si>
  <si>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</si>
  <si>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</si>
  <si>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</si>
  <si>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</si>
  <si>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</si>
  <si>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</si>
  <si>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</si>
  <si>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</si>
  <si>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</si>
  <si>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</si>
  <si>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</si>
  <si>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</si>
  <si>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</si>
  <si>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</si>
  <si>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</si>
  <si>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</si>
  <si>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</si>
  <si>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</si>
  <si>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</si>
  <si>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</si>
  <si>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</si>
  <si>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</si>
  <si>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</si>
  <si>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</si>
  <si>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</si>
  <si>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</si>
  <si>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</si>
  <si>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</si>
  <si>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</si>
  <si>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</si>
  <si>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</si>
  <si>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</si>
  <si>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</si>
  <si>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</si>
  <si>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</si>
  <si>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</si>
  <si>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</si>
  <si>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</si>
  <si>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</si>
  <si>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</si>
  <si>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</si>
  <si>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</si>
  <si>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</si>
  <si>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</si>
  <si>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</si>
  <si>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</si>
  <si>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</si>
  <si>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</si>
  <si>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</si>
  <si>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</si>
  <si>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</si>
  <si>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</si>
  <si>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</si>
  <si>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</si>
  <si>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</si>
  <si>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</si>
  <si>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</si>
  <si>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</si>
  <si>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</si>
  <si>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</si>
  <si>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</si>
  <si>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</si>
  <si>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</si>
  <si>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</si>
  <si>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</si>
  <si>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</si>
  <si>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</si>
  <si>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</si>
  <si>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</si>
  <si>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</si>
  <si>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</si>
  <si>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</si>
  <si>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</si>
  <si>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</si>
  <si>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</si>
  <si>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</si>
  <si>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</si>
  <si>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</si>
  <si>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</si>
  <si>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</si>
  <si>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</si>
  <si>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</si>
  <si>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</si>
  <si>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</si>
  <si>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</si>
  <si>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</si>
  <si>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</si>
  <si>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</si>
  <si>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</si>
  <si>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</si>
  <si>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</si>
  <si>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</si>
  <si>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</si>
  <si>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</si>
  <si>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</si>
  <si>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</si>
  <si>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</si>
  <si>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</si>
  <si>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</si>
  <si>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</si>
  <si>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</si>
  <si>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</si>
  <si>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</si>
  <si>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</si>
  <si>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</si>
  <si>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</si>
  <si>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</si>
  <si>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</si>
  <si>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</si>
  <si>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</si>
  <si>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</si>
  <si>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</si>
  <si>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</si>
  <si>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</si>
  <si>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</si>
  <si>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</si>
  <si>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</si>
  <si>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</si>
  <si>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</si>
  <si>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</si>
  <si>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</si>
  <si>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</si>
  <si>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</si>
  <si>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</si>
  <si>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</si>
  <si>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</si>
  <si>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</si>
  <si>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</si>
  <si>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</si>
  <si>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</si>
  <si>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</si>
  <si>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</si>
  <si>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</si>
  <si>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</si>
  <si>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</si>
  <si>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</si>
  <si>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</si>
  <si>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</si>
  <si>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</si>
  <si>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</si>
  <si>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</si>
  <si>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</si>
  <si>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</si>
  <si>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</si>
  <si>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</si>
  <si>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</si>
  <si>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</si>
  <si>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</si>
  <si>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</si>
  <si>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</si>
  <si>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</si>
  <si>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</si>
  <si>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</si>
  <si>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</si>
  <si>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</si>
  <si>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</si>
  <si>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</si>
  <si>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</si>
  <si>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</si>
  <si>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</si>
  <si>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</si>
  <si>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</si>
  <si>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</si>
  <si>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</si>
  <si>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</si>
  <si>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</si>
  <si>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</si>
  <si>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</si>
  <si>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</si>
  <si>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</si>
  <si>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</si>
  <si>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</si>
  <si>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</si>
  <si>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</si>
  <si>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</si>
  <si>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</si>
  <si>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</si>
  <si>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</si>
  <si>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</si>
  <si>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</si>
  <si>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</si>
  <si>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</si>
  <si>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</si>
  <si>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</si>
  <si>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</si>
  <si>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</si>
  <si>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</si>
  <si>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</si>
  <si>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</si>
  <si>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</si>
  <si>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</si>
  <si>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</si>
  <si>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</si>
  <si>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</si>
  <si>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</si>
  <si>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</si>
  <si>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</si>
  <si>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</si>
  <si>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</si>
  <si>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</si>
  <si>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</si>
  <si>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</si>
  <si>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</si>
  <si>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</si>
  <si>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</si>
  <si>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</si>
  <si>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</si>
  <si>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</si>
  <si>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</si>
  <si>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</si>
  <si>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</si>
  <si>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</si>
  <si>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</si>
  <si>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</si>
  <si>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</si>
  <si>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</si>
  <si>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</si>
  <si>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</si>
  <si>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</si>
  <si>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</si>
  <si>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</si>
  <si>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</si>
  <si>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</si>
  <si>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</si>
  <si>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</si>
  <si>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</si>
  <si>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</si>
  <si>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</si>
  <si>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</si>
  <si>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</si>
  <si>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</si>
  <si>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</si>
  <si>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</si>
  <si>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</si>
  <si>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</si>
  <si>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</si>
  <si>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</si>
  <si>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</si>
  <si>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</si>
  <si>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</si>
  <si>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</si>
  <si>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</si>
  <si>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</si>
  <si>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</si>
  <si>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</si>
  <si>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</si>
  <si>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</si>
  <si>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</si>
  <si>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</si>
  <si>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</si>
  <si>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</si>
  <si>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</si>
  <si>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</si>
  <si>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</si>
  <si>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</si>
  <si>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</si>
  <si>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</si>
  <si>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</si>
  <si>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</si>
  <si>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</si>
  <si>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</si>
  <si>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</si>
  <si>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</si>
  <si>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</si>
  <si>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</si>
  <si>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</si>
  <si>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</si>
  <si>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</si>
  <si>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</si>
  <si>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</si>
  <si>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</si>
  <si>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</si>
  <si>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</si>
  <si>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</si>
  <si>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</si>
  <si>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</si>
  <si>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</si>
  <si>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</si>
  <si>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</si>
  <si>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</si>
  <si>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</si>
  <si>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</si>
  <si>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</si>
  <si>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</si>
  <si>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</si>
  <si>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</si>
  <si>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</si>
  <si>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</si>
  <si>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</si>
  <si>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</si>
  <si>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</si>
  <si>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</si>
  <si>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</si>
  <si>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</si>
  <si>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</si>
  <si>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</si>
  <si>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</si>
  <si>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</si>
  <si>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</si>
  <si>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</si>
  <si>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</si>
  <si>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</si>
  <si>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</si>
  <si>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</si>
  <si>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</si>
  <si>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</si>
  <si>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</si>
  <si>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</si>
  <si>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</si>
  <si>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</si>
  <si>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</si>
  <si>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</si>
  <si>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</si>
  <si>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</si>
  <si>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</si>
  <si>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</si>
  <si>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</si>
  <si>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</si>
  <si>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</si>
  <si>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</si>
  <si>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</si>
  <si>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</si>
  <si>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</si>
  <si>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</si>
  <si>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</si>
  <si>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</si>
  <si>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</si>
  <si>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</si>
  <si>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</si>
  <si>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</si>
  <si>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</si>
  <si>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</si>
  <si>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</si>
  <si>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</si>
  <si>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</si>
  <si>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</si>
  <si>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</si>
  <si>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</si>
  <si>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</si>
  <si>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</si>
  <si>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</si>
  <si>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</si>
  <si>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</si>
  <si>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</si>
  <si>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</si>
  <si>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</si>
  <si>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</si>
  <si>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</si>
  <si>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</si>
  <si>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</si>
  <si>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</si>
  <si>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</si>
  <si>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</si>
  <si>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</si>
  <si>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</si>
  <si>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</si>
  <si>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</si>
  <si>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</si>
  <si>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</si>
  <si>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</si>
  <si>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</si>
  <si>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</si>
  <si>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</si>
  <si>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</si>
  <si>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</si>
  <si>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</si>
  <si>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</si>
  <si>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</si>
  <si>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</si>
  <si>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</si>
  <si>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</si>
  <si>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</si>
  <si>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</si>
  <si>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</si>
  <si>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</si>
  <si>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</si>
  <si>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</si>
  <si>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</si>
  <si>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</si>
  <si>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</si>
  <si>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</si>
  <si>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</si>
  <si>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</si>
  <si>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</si>
  <si>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</si>
  <si>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</si>
  <si>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</si>
  <si>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</si>
  <si>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</si>
  <si>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</si>
  <si>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</si>
  <si>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</si>
  <si>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</si>
  <si>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</si>
  <si>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</si>
  <si>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</si>
  <si>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</si>
  <si>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</si>
  <si>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</si>
  <si>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</si>
  <si>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</si>
  <si>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</si>
  <si>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</si>
  <si>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</si>
  <si>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</si>
  <si>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</si>
  <si>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</si>
  <si>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</si>
  <si>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</si>
  <si>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</si>
  <si>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</si>
  <si>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</si>
  <si>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</si>
  <si>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</si>
  <si>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</si>
  <si>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</si>
  <si>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</si>
  <si>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</si>
  <si>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</si>
  <si>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</si>
  <si>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</si>
  <si>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</si>
  <si>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</si>
  <si>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</si>
  <si>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</si>
  <si>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</si>
  <si>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</si>
  <si>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</si>
  <si>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</si>
  <si>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</si>
  <si>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</si>
  <si>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</si>
  <si>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</si>
  <si>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</si>
  <si>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</si>
  <si>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</si>
  <si>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</si>
  <si>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</si>
  <si>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</si>
  <si>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</si>
  <si>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</si>
  <si>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</si>
  <si>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</si>
  <si>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</si>
  <si>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</si>
  <si>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</si>
  <si>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</si>
  <si>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</si>
  <si>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</si>
  <si>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</si>
  <si>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</si>
  <si>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</si>
  <si>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</si>
  <si>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</si>
  <si>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</si>
  <si>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</si>
  <si>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</si>
  <si>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</si>
  <si>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</si>
  <si>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</si>
  <si>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</si>
  <si>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</si>
  <si>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</si>
  <si>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</si>
  <si>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</si>
  <si>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</si>
  <si>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</si>
  <si>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</si>
  <si>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</si>
  <si>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</si>
  <si>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</si>
  <si>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</si>
  <si>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</si>
  <si>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</si>
  <si>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</si>
  <si>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</si>
  <si>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</si>
  <si>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</si>
  <si>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</si>
  <si>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</si>
  <si>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</si>
  <si>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</si>
  <si>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</si>
  <si>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</si>
  <si>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</si>
  <si>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</si>
  <si>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</si>
  <si>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</si>
  <si>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</si>
  <si>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</si>
  <si>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</si>
  <si>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</si>
  <si>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</si>
  <si>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</si>
  <si>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</si>
  <si>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</si>
  <si>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</si>
  <si>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</si>
  <si>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</si>
  <si>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</si>
  <si>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</si>
  <si>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</si>
  <si>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</si>
  <si>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</si>
  <si>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</si>
  <si>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</si>
  <si>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</si>
  <si>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</si>
  <si>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</si>
  <si>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</si>
  <si>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</si>
  <si>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</si>
  <si>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</si>
  <si>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</si>
  <si>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</si>
  <si>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</si>
  <si>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</si>
  <si>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</si>
  <si>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</si>
  <si>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</si>
  <si>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</si>
  <si>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</si>
  <si>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</si>
  <si>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</si>
  <si>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</si>
  <si>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</si>
  <si>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</si>
  <si>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</si>
  <si>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</si>
  <si>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</si>
  <si>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</si>
  <si>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</si>
  <si>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</si>
  <si>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</si>
  <si>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</si>
  <si>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</si>
  <si>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</si>
  <si>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</si>
  <si>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</si>
  <si>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</si>
  <si>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</si>
  <si>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</si>
  <si>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</si>
  <si>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</si>
  <si>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</si>
  <si>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</si>
  <si>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</si>
  <si>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</si>
  <si>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</si>
  <si>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</si>
  <si>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</si>
  <si>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</si>
  <si>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</si>
  <si>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</si>
  <si>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</si>
  <si>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</si>
  <si>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</si>
  <si>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</si>
  <si>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</si>
  <si>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</si>
  <si>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</si>
  <si>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</si>
  <si>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</si>
  <si>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</si>
  <si>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</si>
  <si>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</si>
  <si>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</si>
  <si>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</si>
  <si>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</si>
  <si>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</si>
  <si>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</si>
  <si>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</si>
  <si>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</si>
  <si>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</si>
  <si>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</si>
  <si>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</si>
  <si>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</si>
  <si>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</si>
  <si>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</si>
  <si>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</si>
  <si>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</si>
  <si>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</si>
  <si>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</si>
  <si>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</si>
  <si>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</si>
  <si>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</si>
  <si>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</si>
  <si>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</si>
  <si>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</si>
  <si>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</si>
  <si>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</si>
  <si>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</si>
  <si>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</si>
  <si>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</si>
  <si>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</si>
  <si>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</si>
  <si>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</si>
  <si>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</si>
  <si>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</si>
  <si>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</si>
  <si>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</si>
  <si>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</si>
  <si>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</si>
  <si>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</si>
  <si>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</si>
  <si>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</si>
  <si>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</si>
  <si>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</si>
  <si>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</si>
  <si>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</si>
  <si>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</si>
  <si>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</si>
  <si>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</si>
  <si>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</si>
  <si>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</si>
  <si>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</si>
  <si>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</si>
  <si>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</si>
  <si>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</si>
  <si>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</si>
  <si>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</si>
  <si>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</si>
  <si>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</si>
  <si>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</si>
  <si>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</si>
  <si>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</si>
  <si>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</si>
  <si>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</si>
  <si>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</si>
  <si>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</si>
  <si>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</si>
  <si>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</si>
  <si>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</si>
  <si>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</si>
  <si>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</si>
  <si>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</si>
  <si>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</si>
  <si>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</si>
  <si>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</si>
  <si>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</si>
  <si>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</si>
  <si>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</si>
  <si>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</si>
  <si>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</si>
  <si>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</si>
  <si>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</si>
  <si>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</si>
  <si>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</si>
  <si>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</si>
  <si>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</si>
  <si>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</si>
  <si>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</si>
  <si>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</si>
  <si>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</si>
  <si>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</si>
  <si>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</si>
  <si>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</si>
  <si>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</si>
  <si>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</si>
  <si>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</si>
  <si>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</si>
  <si>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</si>
  <si>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</si>
  <si>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</si>
  <si>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</si>
  <si>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</si>
  <si>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</si>
  <si>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</si>
  <si>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</si>
  <si>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</si>
  <si>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</si>
  <si>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</si>
  <si>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</si>
  <si>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</si>
  <si>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</si>
  <si>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</si>
  <si>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</si>
  <si>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</si>
  <si>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</si>
  <si>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</si>
  <si>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</si>
  <si>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</si>
  <si>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</si>
  <si>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</si>
  <si>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</si>
  <si>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</si>
  <si>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</si>
  <si>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</si>
  <si>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</si>
  <si>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</si>
  <si>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</si>
  <si>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</si>
  <si>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</si>
  <si>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</si>
  <si>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</si>
  <si>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</si>
  <si>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</si>
  <si>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</si>
  <si>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</si>
  <si>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</si>
  <si>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</si>
  <si>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</si>
  <si>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</si>
  <si>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</si>
  <si>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</si>
  <si>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</si>
  <si>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</si>
  <si>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</si>
  <si>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</si>
  <si>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</si>
  <si>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</si>
  <si>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</si>
  <si>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</si>
  <si>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</si>
  <si>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</si>
  <si>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</si>
  <si>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</si>
  <si>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</si>
  <si>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</si>
  <si>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</si>
  <si>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</si>
  <si>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</si>
  <si>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</si>
  <si>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</si>
  <si>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</si>
  <si>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</si>
  <si>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</si>
  <si>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</si>
  <si>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</si>
  <si>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</si>
  <si>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</si>
  <si>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</si>
  <si>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</si>
  <si>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</si>
  <si>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</si>
  <si>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</si>
  <si>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</si>
  <si>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</si>
  <si>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</si>
  <si>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</si>
  <si>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</si>
  <si>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</si>
  <si>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</si>
  <si>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</si>
  <si>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</si>
  <si>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</si>
  <si>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</si>
  <si>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</si>
  <si>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</si>
  <si>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</si>
  <si>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</si>
  <si>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</si>
  <si>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</si>
  <si>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</si>
  <si>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</si>
  <si>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</si>
  <si>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</si>
  <si>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</si>
  <si>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</si>
  <si>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</si>
  <si>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</si>
  <si>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</si>
  <si>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</si>
  <si>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</si>
  <si>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</si>
  <si>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</si>
  <si>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</si>
  <si>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</si>
  <si>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</si>
  <si>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</si>
  <si>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</si>
  <si>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</si>
  <si>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</si>
  <si>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</si>
  <si>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</si>
  <si>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</si>
  <si>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</si>
  <si>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</si>
  <si>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</si>
  <si>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</si>
  <si>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</si>
  <si>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</si>
  <si>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</si>
  <si>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</si>
  <si>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</si>
  <si>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</si>
  <si>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</si>
  <si>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</si>
  <si>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</si>
  <si>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</si>
  <si>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</si>
  <si>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</si>
  <si>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</si>
  <si>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</si>
  <si>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</si>
  <si>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</si>
  <si>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</si>
  <si>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</si>
  <si>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</si>
  <si>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</si>
  <si>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</si>
  <si>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</si>
  <si>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</si>
  <si>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</si>
  <si>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</si>
  <si>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</si>
  <si>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</si>
  <si>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</si>
  <si>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</si>
  <si>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</si>
  <si>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</si>
  <si>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</si>
  <si>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</si>
  <si>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</si>
  <si>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</si>
  <si>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</si>
  <si>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</si>
  <si>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</si>
  <si>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</si>
  <si>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</si>
  <si>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</si>
  <si>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</si>
  <si>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</si>
  <si>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</si>
  <si>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</si>
  <si>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</si>
  <si>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</si>
  <si>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</si>
  <si>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</si>
  <si>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</si>
  <si>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</si>
  <si>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</si>
  <si>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</si>
  <si>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</si>
  <si>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</si>
  <si>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</si>
  <si>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</si>
  <si>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</si>
  <si>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</si>
  <si>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</si>
  <si>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</si>
  <si>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</si>
  <si>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</si>
  <si>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</si>
  <si>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</si>
  <si>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</si>
  <si>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</si>
  <si>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</si>
  <si>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</si>
  <si>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</si>
  <si>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</si>
  <si>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</si>
  <si>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</si>
  <si>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</si>
  <si>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</si>
  <si>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</si>
  <si>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</si>
  <si>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</si>
  <si>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</si>
  <si>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</si>
  <si>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</si>
  <si>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</si>
  <si>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</si>
  <si>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</si>
  <si>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</si>
  <si>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</si>
  <si>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</si>
  <si>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</si>
  <si>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</si>
  <si>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</si>
  <si>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</si>
  <si>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</si>
  <si>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</si>
  <si>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</si>
  <si>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</si>
  <si>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</si>
  <si>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</si>
  <si>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</si>
  <si>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</si>
  <si>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</si>
  <si>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</si>
  <si>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</si>
  <si>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</si>
  <si>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</si>
  <si>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</si>
  <si>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</si>
  <si>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</si>
  <si>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</si>
  <si>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</si>
  <si>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</si>
  <si>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</si>
  <si>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</si>
  <si>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</si>
  <si>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</si>
  <si>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</si>
  <si>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</si>
  <si>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</si>
  <si>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</si>
  <si>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</si>
  <si>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</si>
  <si>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</si>
  <si>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</si>
  <si>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</si>
  <si>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</si>
  <si>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</si>
  <si>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</si>
  <si>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</si>
  <si>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</si>
  <si>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</si>
  <si>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</si>
  <si>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</si>
  <si>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</si>
  <si>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</si>
  <si>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</si>
  <si>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</si>
  <si>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</si>
  <si>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</si>
  <si>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</si>
  <si>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</si>
  <si>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</si>
  <si>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</si>
  <si>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</si>
  <si>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</si>
  <si>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</si>
  <si>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</si>
  <si>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</si>
  <si>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</si>
  <si>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</si>
  <si>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</si>
  <si>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</si>
  <si>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</si>
  <si>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</si>
  <si>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</si>
  <si>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</si>
  <si>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</si>
  <si>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</si>
  <si>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</si>
  <si>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</si>
  <si>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</si>
  <si>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</si>
  <si>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</si>
  <si>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</si>
  <si>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</si>
  <si>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</si>
  <si>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</si>
  <si>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</si>
  <si>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</si>
  <si>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</si>
  <si>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</si>
  <si>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</si>
  <si>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</si>
  <si>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</si>
  <si>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</si>
  <si>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</si>
  <si>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</si>
  <si>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</si>
  <si>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</si>
  <si>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</si>
  <si>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</si>
  <si>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</si>
  <si>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</si>
  <si>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</si>
  <si>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</si>
  <si>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</si>
  <si>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</si>
  <si>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</si>
  <si>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</si>
  <si>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</si>
  <si>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</si>
  <si>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</si>
  <si>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</si>
  <si>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</si>
  <si>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</si>
  <si>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</si>
  <si>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</si>
  <si>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</si>
  <si>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</si>
  <si>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</si>
  <si>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</si>
  <si>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</si>
  <si>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</si>
  <si>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</si>
  <si>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</si>
  <si>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</si>
  <si>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</si>
  <si>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</si>
  <si>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</si>
  <si>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</si>
  <si>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</si>
  <si>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</si>
  <si>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</si>
  <si>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</si>
  <si>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</si>
  <si>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</si>
  <si>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</si>
  <si>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</si>
  <si>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</si>
  <si>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</si>
  <si>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</si>
  <si>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</si>
  <si>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</si>
  <si>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</si>
  <si>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</si>
  <si>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</si>
  <si>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</si>
  <si>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</si>
  <si>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</si>
  <si>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Avidyne Corporation</t>
  </si>
  <si>
    <t>947103586</t>
  </si>
  <si>
    <t>DUNS</t>
  </si>
  <si>
    <t>710 North Drive, Melbourne, FL, 32934, U.S.A.</t>
  </si>
  <si>
    <t>Fernando Treviño-Garza</t>
  </si>
  <si>
    <t>ftrevino@avidyne.com</t>
  </si>
  <si>
    <t>+1 321-751-8520</t>
  </si>
  <si>
    <t>Quality Director</t>
  </si>
  <si>
    <t>https://www.avidyne.com/avidyne-quality/</t>
  </si>
  <si>
    <t>Asago</t>
  </si>
  <si>
    <t>Huichang Jinshunda Tin Co., Ltd.</t>
  </si>
  <si>
    <t>CID000760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</si>
</sst>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66">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0D2B9B1-AE75-4A68-936D-32F8CA062084}"/>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trevino@avidy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vidyne.com/avidyne-quality/" TargetMode="External"/><Relationship Id="rId4" Type="http://schemas.openxmlformats.org/officeDocument/2006/relationships/hyperlink" Target="mailto:ftrevino@avidy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7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33.75">
      <c r="A13" s="362"/>
      <c r="B13" s="2">
        <v>1</v>
      </c>
      <c r="C13" s="37" t="s">
        <v>1088</v>
      </c>
      <c r="D13" s="39" t="s">
        <v>876</v>
      </c>
      <c r="E13" s="194" t="s">
        <v>853</v>
      </c>
      <c r="F13" s="194"/>
      <c r="G13" s="34"/>
    </row>
    <row r="14" spans="1:7" ht="33.75">
      <c r="A14" s="362"/>
      <c r="B14" s="2">
        <v>2</v>
      </c>
      <c r="C14" s="37" t="s">
        <v>1088</v>
      </c>
      <c r="D14" s="39" t="s">
        <v>1025</v>
      </c>
      <c r="E14" s="194" t="s">
        <v>530</v>
      </c>
      <c r="F14" s="194" t="s">
        <v>531</v>
      </c>
      <c r="G14" s="34"/>
    </row>
    <row r="15" spans="1:7" ht="89.1"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099999999999994"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53">
        <v>2.0299999999999998</v>
      </c>
      <c r="C22" s="353" t="s">
        <v>822</v>
      </c>
      <c r="D22" s="356" t="s">
        <v>2267</v>
      </c>
      <c r="E22" s="359" t="s">
        <v>437</v>
      </c>
      <c r="F22" s="195" t="s">
        <v>460</v>
      </c>
      <c r="G22" s="34"/>
    </row>
    <row r="23" spans="1:7" ht="109.5" customHeight="1">
      <c r="A23" s="362"/>
      <c r="B23" s="354"/>
      <c r="C23" s="354"/>
      <c r="D23" s="357"/>
      <c r="E23" s="360"/>
      <c r="F23" s="196" t="s">
        <v>823</v>
      </c>
      <c r="G23" s="34"/>
    </row>
    <row r="24" spans="1:7" ht="74.25" customHeight="1">
      <c r="A24" s="362"/>
      <c r="B24" s="355"/>
      <c r="C24" s="355"/>
      <c r="D24" s="358"/>
      <c r="E24" s="361"/>
      <c r="F24" s="37" t="s">
        <v>436</v>
      </c>
      <c r="G24" s="34"/>
    </row>
    <row r="25" spans="1:7" ht="72" customHeight="1">
      <c r="A25" s="362"/>
      <c r="B25" s="2" t="s">
        <v>458</v>
      </c>
      <c r="C25" s="37" t="s">
        <v>459</v>
      </c>
      <c r="D25" s="39" t="s">
        <v>2268</v>
      </c>
      <c r="E25" s="37" t="s">
        <v>2263</v>
      </c>
      <c r="F25" s="37" t="s">
        <v>461</v>
      </c>
      <c r="G25" s="34"/>
    </row>
    <row r="26" spans="1:7" ht="98.1"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50000000000001" customHeight="1">
      <c r="A28" s="362"/>
      <c r="B28" s="375"/>
      <c r="C28" s="369"/>
      <c r="D28" s="372"/>
      <c r="E28" s="360"/>
      <c r="F28" s="196" t="s">
        <v>60</v>
      </c>
      <c r="G28" s="34"/>
    </row>
    <row r="29" spans="1:7" ht="74.45" customHeight="1">
      <c r="A29" s="362"/>
      <c r="B29" s="375"/>
      <c r="C29" s="369"/>
      <c r="D29" s="372"/>
      <c r="E29" s="360"/>
      <c r="F29" s="196" t="s">
        <v>61</v>
      </c>
      <c r="G29" s="34"/>
    </row>
    <row r="30" spans="1:7" ht="62.4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45" customHeight="1">
      <c r="A33" s="362"/>
      <c r="B33" s="375"/>
      <c r="C33" s="369"/>
      <c r="D33" s="372"/>
      <c r="E33" s="360"/>
      <c r="F33" s="196" t="s">
        <v>65</v>
      </c>
      <c r="G33" s="34"/>
    </row>
    <row r="34" spans="1:7" ht="89.1" customHeight="1">
      <c r="A34" s="362"/>
      <c r="B34" s="375"/>
      <c r="C34" s="369"/>
      <c r="D34" s="372"/>
      <c r="E34" s="360"/>
      <c r="F34" s="196" t="s">
        <v>67</v>
      </c>
      <c r="G34" s="34"/>
    </row>
    <row r="35" spans="1:7" ht="29.1" customHeight="1">
      <c r="A35" s="362"/>
      <c r="B35" s="375"/>
      <c r="C35" s="369"/>
      <c r="D35" s="372"/>
      <c r="E35" s="360"/>
      <c r="F35" s="196" t="s">
        <v>68</v>
      </c>
      <c r="G35" s="34"/>
    </row>
    <row r="36" spans="1:7" ht="126.75">
      <c r="A36" s="362"/>
      <c r="B36" s="376"/>
      <c r="C36" s="370"/>
      <c r="D36" s="373"/>
      <c r="E36" s="361"/>
      <c r="F36" s="197" t="s">
        <v>69</v>
      </c>
      <c r="G36" s="34"/>
    </row>
    <row r="37" spans="1:7" ht="112.5">
      <c r="A37" s="362"/>
      <c r="B37" s="170">
        <v>3.01</v>
      </c>
      <c r="C37" s="171" t="s">
        <v>70</v>
      </c>
      <c r="D37" s="39" t="s">
        <v>2270</v>
      </c>
      <c r="E37" s="198" t="s">
        <v>1328</v>
      </c>
      <c r="F37" s="199" t="s">
        <v>1434</v>
      </c>
      <c r="G37" s="34"/>
    </row>
    <row r="38" spans="1:7" ht="101.25">
      <c r="A38" s="362"/>
      <c r="B38" s="170">
        <v>3.02</v>
      </c>
      <c r="C38" s="171" t="s">
        <v>1361</v>
      </c>
      <c r="D38" s="39" t="s">
        <v>2271</v>
      </c>
      <c r="E38" s="198" t="s">
        <v>1376</v>
      </c>
      <c r="F38" s="199" t="s">
        <v>1435</v>
      </c>
      <c r="G38" s="34"/>
    </row>
    <row r="39" spans="1:7" ht="101.25">
      <c r="A39" s="362"/>
      <c r="B39" s="180">
        <v>4</v>
      </c>
      <c r="C39" s="179" t="s">
        <v>1531</v>
      </c>
      <c r="D39" s="39" t="s">
        <v>2272</v>
      </c>
      <c r="E39" s="37" t="s">
        <v>2215</v>
      </c>
      <c r="F39" s="37" t="s">
        <v>1532</v>
      </c>
      <c r="G39" s="34"/>
    </row>
    <row r="40" spans="1:7" ht="56.25">
      <c r="A40" s="362"/>
      <c r="B40" s="170">
        <v>4.01</v>
      </c>
      <c r="C40" s="179" t="s">
        <v>1531</v>
      </c>
      <c r="D40" s="39" t="s">
        <v>2274</v>
      </c>
      <c r="E40" s="37" t="s">
        <v>2229</v>
      </c>
      <c r="F40" s="37" t="s">
        <v>2233</v>
      </c>
      <c r="G40" s="34"/>
    </row>
    <row r="41" spans="1:7" ht="56.25">
      <c r="A41" s="362"/>
      <c r="B41" s="170" t="s">
        <v>2261</v>
      </c>
      <c r="C41" s="179" t="s">
        <v>1531</v>
      </c>
      <c r="D41" s="39" t="s">
        <v>2273</v>
      </c>
      <c r="E41" s="37" t="s">
        <v>2264</v>
      </c>
      <c r="F41" s="37" t="s">
        <v>2262</v>
      </c>
      <c r="G41" s="34"/>
    </row>
    <row r="42" spans="1:7" ht="56.25">
      <c r="A42" s="362"/>
      <c r="B42" s="170" t="s">
        <v>2299</v>
      </c>
      <c r="C42" s="179" t="s">
        <v>1531</v>
      </c>
      <c r="D42" s="39" t="s">
        <v>2306</v>
      </c>
      <c r="E42" s="37" t="s">
        <v>2263</v>
      </c>
      <c r="F42" s="37" t="s">
        <v>2300</v>
      </c>
      <c r="G42" s="34"/>
    </row>
    <row r="43" spans="1:7" ht="123.75">
      <c r="A43" s="362"/>
      <c r="B43" s="191">
        <v>4.0999999999999996</v>
      </c>
      <c r="C43" s="179" t="s">
        <v>2305</v>
      </c>
      <c r="D43" s="192">
        <v>42867</v>
      </c>
      <c r="E43" s="200" t="s">
        <v>2308</v>
      </c>
      <c r="F43" s="37" t="s">
        <v>2307</v>
      </c>
      <c r="G43" s="34"/>
    </row>
    <row r="44" spans="1:7" ht="78.75">
      <c r="A44" s="362"/>
      <c r="B44" s="191">
        <v>4.2</v>
      </c>
      <c r="C44" s="179" t="s">
        <v>2305</v>
      </c>
      <c r="D44" s="192">
        <v>42704</v>
      </c>
      <c r="E44" s="200" t="s">
        <v>2510</v>
      </c>
      <c r="F44" s="37" t="s">
        <v>2485</v>
      </c>
      <c r="G44" s="34"/>
    </row>
    <row r="45" spans="1:7" ht="157.5">
      <c r="A45" s="362"/>
      <c r="B45" s="240">
        <v>5</v>
      </c>
      <c r="C45" s="179" t="s">
        <v>2305</v>
      </c>
      <c r="D45" s="192">
        <v>42867</v>
      </c>
      <c r="E45" s="200" t="s">
        <v>12917</v>
      </c>
      <c r="F45" s="37" t="s">
        <v>12639</v>
      </c>
      <c r="G45" s="34"/>
    </row>
    <row r="46" spans="1:7" ht="45">
      <c r="A46" s="362"/>
      <c r="B46" s="191">
        <v>5.01</v>
      </c>
      <c r="C46" s="179" t="s">
        <v>2305</v>
      </c>
      <c r="D46" s="192">
        <v>42907</v>
      </c>
      <c r="E46" s="200" t="s">
        <v>12935</v>
      </c>
      <c r="F46" s="37" t="s">
        <v>12639</v>
      </c>
      <c r="G46" s="34"/>
    </row>
    <row r="47" spans="1:7" ht="67.5">
      <c r="A47" s="362"/>
      <c r="B47" s="191">
        <v>5.0999999999999996</v>
      </c>
      <c r="C47" s="179" t="s">
        <v>2305</v>
      </c>
      <c r="D47" s="192">
        <v>43070</v>
      </c>
      <c r="E47" s="200" t="s">
        <v>13129</v>
      </c>
      <c r="F47" s="37" t="s">
        <v>13130</v>
      </c>
      <c r="G47" s="34"/>
    </row>
    <row r="48" spans="1:7" ht="56.25">
      <c r="A48" s="362"/>
      <c r="B48" s="191">
        <v>5.1100000000000003</v>
      </c>
      <c r="C48" s="179" t="s">
        <v>13371</v>
      </c>
      <c r="D48" s="192">
        <v>43217</v>
      </c>
      <c r="E48" s="200" t="s">
        <v>13499</v>
      </c>
      <c r="F48" s="37" t="s">
        <v>13405</v>
      </c>
      <c r="G48" s="34"/>
    </row>
    <row r="49" spans="1:7" ht="56.25">
      <c r="A49" s="362"/>
      <c r="B49" s="191">
        <v>5.12</v>
      </c>
      <c r="C49" s="179" t="s">
        <v>13371</v>
      </c>
      <c r="D49" s="192">
        <v>43581</v>
      </c>
      <c r="E49" s="200" t="s">
        <v>13499</v>
      </c>
      <c r="F49" s="37" t="s">
        <v>14064</v>
      </c>
      <c r="G49" s="34"/>
    </row>
    <row r="50" spans="1:7" ht="78.75">
      <c r="A50" s="362"/>
      <c r="B50" s="240">
        <v>6</v>
      </c>
      <c r="C50" s="179" t="s">
        <v>13371</v>
      </c>
      <c r="D50" s="192">
        <v>43964</v>
      </c>
      <c r="E50" s="200" t="s">
        <v>14291</v>
      </c>
      <c r="F50" s="37" t="s">
        <v>14074</v>
      </c>
      <c r="G50" s="34"/>
    </row>
    <row r="51" spans="1:7" ht="45">
      <c r="A51" s="362"/>
      <c r="B51" s="191">
        <v>6.01</v>
      </c>
      <c r="C51" s="179" t="s">
        <v>13371</v>
      </c>
      <c r="D51" s="192">
        <v>43970</v>
      </c>
      <c r="E51" s="200" t="s">
        <v>15309</v>
      </c>
      <c r="F51" s="200" t="s">
        <v>14074</v>
      </c>
      <c r="G51" s="34"/>
    </row>
    <row r="52" spans="1:7" ht="45">
      <c r="A52" s="362"/>
      <c r="B52" s="191">
        <v>6.1</v>
      </c>
      <c r="C52" s="179" t="s">
        <v>13371</v>
      </c>
      <c r="D52" s="192">
        <v>44314</v>
      </c>
      <c r="E52" s="200" t="s">
        <v>15314</v>
      </c>
      <c r="F52" s="200" t="s">
        <v>15319</v>
      </c>
      <c r="G52" s="34"/>
    </row>
    <row r="53" spans="1:7" ht="13.5" thickBot="1">
      <c r="A53" s="363"/>
      <c r="B53" s="364" t="str">
        <f ca="1">OFFSET(L!$C$1,MATCH("General"&amp;"Cpy",L!$A:$A,0)-1,SL,,)</f>
        <v>© 2021 Responsible Minerals Initiative. All rights reserved.</v>
      </c>
      <c r="C53" s="364"/>
      <c r="D53" s="364"/>
      <c r="E53" s="364"/>
      <c r="F53" s="36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B1A8BBF-A57C-4123-811B-64ED986318F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FCF8089-5535-4C22-968D-78F27BFCD88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7"/>
      <c r="G3" s="427"/>
      <c r="H3" s="427"/>
      <c r="I3" s="182"/>
      <c r="J3" s="167" t="s">
        <v>15318</v>
      </c>
      <c r="K3" s="47"/>
      <c r="L3" s="139"/>
      <c r="M3" s="130"/>
      <c r="N3" s="130"/>
      <c r="O3" s="131"/>
      <c r="P3" s="144">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15606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9" t="s">
        <v>494</v>
      </c>
      <c r="E9" s="430"/>
      <c r="F9" s="430"/>
      <c r="G9" s="43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3" t="str">
        <f ca="1">OFFSET(L!$C$1,MATCH("Declaration"&amp;ADDRESS(ROW(),COLUMN(),4)&amp;LEFT($D$9,1),L!$A:$A,0)-1,SL,,)</f>
        <v>Description of Scope:</v>
      </c>
      <c r="C10" s="151"/>
      <c r="D10" s="424"/>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4"/>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t="s">
        <v>15607</v>
      </c>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t="s">
        <v>15608</v>
      </c>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t="s">
        <v>15609</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15610</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5" t="s">
        <v>15611</v>
      </c>
      <c r="E16" s="436"/>
      <c r="F16" s="436"/>
      <c r="G16" s="436"/>
      <c r="H16" s="436"/>
      <c r="I16" s="436"/>
      <c r="J16" s="43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15612</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15610</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15613</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5" t="s">
        <v>15611</v>
      </c>
      <c r="E20" s="436"/>
      <c r="F20" s="436"/>
      <c r="G20" s="436"/>
      <c r="H20" s="436"/>
      <c r="I20" s="436"/>
      <c r="J20" s="43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8" t="s">
        <v>15612</v>
      </c>
      <c r="E21" s="439"/>
      <c r="F21" s="439"/>
      <c r="G21" s="439"/>
      <c r="H21" s="439"/>
      <c r="I21" s="439"/>
      <c r="J21" s="44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1">
        <v>44347</v>
      </c>
      <c r="E22" s="44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489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489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490</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490</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4" t="s">
        <v>2511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4" t="s">
        <v>2511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4"/>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488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11" t="s">
        <v>15614</v>
      </c>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6" priority="64" stopIfTrue="1">
      <formula>AND(OR($D$26="No",AND($D$26="Yes",$D$32="No")),OR($D$27="No",AND($D$27="Yes",$D$33="No")),OR($D$28="No",AND($D$28="Yes",$D$34="No")),OR($D$29="No",AND($D$29="Yes",$D$35="No")))</formula>
    </cfRule>
    <cfRule type="expression" dxfId="105" priority="65" stopIfTrue="1">
      <formula>IF(D75="",TRUE)</formula>
    </cfRule>
  </conditionalFormatting>
  <conditionalFormatting sqref="G77:J77">
    <cfRule type="expression" dxfId="104" priority="36" stopIfTrue="1">
      <formula>IF(AND($D$77="Yes",$G$77=""),TRUE)</formula>
    </cfRule>
  </conditionalFormatting>
  <conditionalFormatting sqref="D26:E26">
    <cfRule type="expression" dxfId="103" priority="116" stopIfTrue="1">
      <formula>IF($D$26="",TRUE)</formula>
    </cfRule>
  </conditionalFormatting>
  <conditionalFormatting sqref="D27:E27">
    <cfRule type="expression" dxfId="102" priority="123" stopIfTrue="1">
      <formula>IF($D$27="",TRUE)</formula>
    </cfRule>
  </conditionalFormatting>
  <conditionalFormatting sqref="D28:E28">
    <cfRule type="expression" dxfId="101" priority="124" stopIfTrue="1">
      <formula>IF($D$28="",TRUE)</formula>
    </cfRule>
  </conditionalFormatting>
  <conditionalFormatting sqref="D29:E29">
    <cfRule type="expression" dxfId="100" priority="125" stopIfTrue="1">
      <formula>IF($D$29="",TRUE)</formula>
    </cfRule>
  </conditionalFormatting>
  <conditionalFormatting sqref="D8:J8">
    <cfRule type="expression" dxfId="99" priority="130" stopIfTrue="1">
      <formula>IF($D$8="",TRUE)</formula>
    </cfRule>
  </conditionalFormatting>
  <conditionalFormatting sqref="D9:G9">
    <cfRule type="expression" dxfId="98" priority="131" stopIfTrue="1">
      <formula>IF($D$9="",TRUE)</formula>
    </cfRule>
  </conditionalFormatting>
  <conditionalFormatting sqref="D15:J15">
    <cfRule type="expression" dxfId="97" priority="132" stopIfTrue="1">
      <formula>IF($D$15="",TRUE)</formula>
    </cfRule>
  </conditionalFormatting>
  <conditionalFormatting sqref="D16:J16">
    <cfRule type="expression" dxfId="96" priority="133" stopIfTrue="1">
      <formula>IF($D$16="",TRUE)</formula>
    </cfRule>
  </conditionalFormatting>
  <conditionalFormatting sqref="D17:J17">
    <cfRule type="expression" dxfId="95" priority="134" stopIfTrue="1">
      <formula>IF($D$17="",TRUE)</formula>
    </cfRule>
  </conditionalFormatting>
  <conditionalFormatting sqref="D22:E22">
    <cfRule type="expression" dxfId="93" priority="138" stopIfTrue="1">
      <formula>IF($D$22="",TRUE)</formula>
    </cfRule>
  </conditionalFormatting>
  <conditionalFormatting sqref="D10:J10">
    <cfRule type="expression" dxfId="92" priority="35" stopIfTrue="1">
      <formula>IF($D$9=$Q$9,TRUE)</formula>
    </cfRule>
    <cfRule type="expression" dxfId="91" priority="145" stopIfTrue="1">
      <formula>IF(AND($D$10="",$D$9=$R$9),TRUE)</formula>
    </cfRule>
  </conditionalFormatting>
  <conditionalFormatting sqref="D34:E34 D40:E40 D52:E52 D58:E58 D64:E64 D70:E70">
    <cfRule type="expression" dxfId="90" priority="28" stopIfTrue="1">
      <formula>$P$28=""</formula>
    </cfRule>
  </conditionalFormatting>
  <conditionalFormatting sqref="D35:E35 D41:E41 D53:E53 D59:E59 D65:E65 D71:E71">
    <cfRule type="expression" dxfId="89" priority="143" stopIfTrue="1">
      <formula>$P$29=""</formula>
    </cfRule>
  </conditionalFormatting>
  <conditionalFormatting sqref="D32:E32">
    <cfRule type="expression" dxfId="88" priority="121" stopIfTrue="1">
      <formula>$P$26=""</formula>
    </cfRule>
  </conditionalFormatting>
  <conditionalFormatting sqref="D32:E32">
    <cfRule type="expression" dxfId="87" priority="34" stopIfTrue="1">
      <formula>IF(AND(OR($D$26="Yes",$D$26=""),$D$32=""),1,0)</formula>
    </cfRule>
  </conditionalFormatting>
  <conditionalFormatting sqref="D38 D50 D56 D62 D68">
    <cfRule type="expression" dxfId="86" priority="30" stopIfTrue="1">
      <formula>$P$32=""</formula>
    </cfRule>
  </conditionalFormatting>
  <conditionalFormatting sqref="D39:E39 D51 D57 D63 D69">
    <cfRule type="expression" dxfId="85" priority="29" stopIfTrue="1">
      <formula>$P$33=""</formula>
    </cfRule>
  </conditionalFormatting>
  <conditionalFormatting sqref="D40 D52 D58 D64 D70">
    <cfRule type="expression" dxfId="84" priority="19" stopIfTrue="1">
      <formula>$P$34=""</formula>
    </cfRule>
    <cfRule type="expression" dxfId="83" priority="141" stopIfTrue="1">
      <formula>IF(AND(OR($D$28="Yes",$D$28=""),D40=""),1,0)</formula>
    </cfRule>
  </conditionalFormatting>
  <conditionalFormatting sqref="D41 D53 D59 D65 D71">
    <cfRule type="expression" dxfId="82" priority="27" stopIfTrue="1">
      <formula>$P$35=""</formula>
    </cfRule>
  </conditionalFormatting>
  <conditionalFormatting sqref="D38:E38 D50:E50 D56:E56 D62:E62 D68:E68">
    <cfRule type="expression" dxfId="81" priority="32" stopIfTrue="1">
      <formula>$P$26=""</formula>
    </cfRule>
    <cfRule type="expression" dxfId="80" priority="33" stopIfTrue="1">
      <formula>IF(AND(OR($D$26="Yes",$D$26=""),D38=""),1,0)</formula>
    </cfRule>
  </conditionalFormatting>
  <conditionalFormatting sqref="G85:J85">
    <cfRule type="expression" dxfId="79" priority="26" stopIfTrue="1">
      <formula>IF(AND($D$85="Yes, using other format (describe)",$G$85=""),TRUE)</formula>
    </cfRule>
  </conditionalFormatting>
  <conditionalFormatting sqref="D39:E39 D51:E51 D57:E57 D63:E63 D69:E69">
    <cfRule type="expression" dxfId="78" priority="139" stopIfTrue="1">
      <formula>$P$39=""</formula>
    </cfRule>
    <cfRule type="expression" dxfId="77" priority="140" stopIfTrue="1">
      <formula>IF(AND(OR($D$27="Yes",$D$27=""),D39=""),1,0)</formula>
    </cfRule>
  </conditionalFormatting>
  <conditionalFormatting sqref="D33:E33">
    <cfRule type="expression" dxfId="76" priority="21" stopIfTrue="1">
      <formula>IF(AND(OR($D$27="Yes",$D$27=""),$D$33=""),1,0)</formula>
    </cfRule>
    <cfRule type="expression" dxfId="75" priority="22" stopIfTrue="1">
      <formula>$P$27=""</formula>
    </cfRule>
  </conditionalFormatting>
  <conditionalFormatting sqref="D34:E34">
    <cfRule type="expression" dxfId="74" priority="142" stopIfTrue="1">
      <formula>IF(AND(OR($D$28="Yes",$D$28=""),$D$34=""),1,0)</formula>
    </cfRule>
  </conditionalFormatting>
  <conditionalFormatting sqref="D41:E41 D53:E53 D59:E59 D65:E65 D71:E71">
    <cfRule type="expression" dxfId="73" priority="144" stopIfTrue="1">
      <formula>IF(AND(OR($D$29="Yes",$D$29=""),D41=""),1,0)</formula>
    </cfRule>
  </conditionalFormatting>
  <conditionalFormatting sqref="D35:E35">
    <cfRule type="expression" dxfId="72" priority="18" stopIfTrue="1">
      <formula>IF(AND(OR($D$29="Yes",$D$29=""),$D$35=""),1,0)</formula>
    </cfRule>
  </conditionalFormatting>
  <conditionalFormatting sqref="D20:J20">
    <cfRule type="expression" dxfId="71" priority="14" stopIfTrue="1">
      <formula>IF($D$20="",TRUE)</formula>
    </cfRule>
  </conditionalFormatting>
  <conditionalFormatting sqref="D46:E46">
    <cfRule type="expression" dxfId="70" priority="4" stopIfTrue="1">
      <formula>$P$28=""</formula>
    </cfRule>
  </conditionalFormatting>
  <conditionalFormatting sqref="D47:E47">
    <cfRule type="expression" dxfId="69" priority="12" stopIfTrue="1">
      <formula>$P$29=""</formula>
    </cfRule>
  </conditionalFormatting>
  <conditionalFormatting sqref="D44">
    <cfRule type="expression" dxfId="68" priority="6" stopIfTrue="1">
      <formula>$P$32=""</formula>
    </cfRule>
  </conditionalFormatting>
  <conditionalFormatting sqref="D45">
    <cfRule type="expression" dxfId="67" priority="5" stopIfTrue="1">
      <formula>$P$33=""</formula>
    </cfRule>
  </conditionalFormatting>
  <conditionalFormatting sqref="D46">
    <cfRule type="expression" dxfId="66" priority="2" stopIfTrue="1">
      <formula>$P$34=""</formula>
    </cfRule>
    <cfRule type="expression" dxfId="65" priority="11" stopIfTrue="1">
      <formula>IF(AND(OR($D$28="Yes",$D$28=""),D46=""),1,0)</formula>
    </cfRule>
  </conditionalFormatting>
  <conditionalFormatting sqref="D47">
    <cfRule type="expression" dxfId="64" priority="3" stopIfTrue="1">
      <formula>$P$35=""</formula>
    </cfRule>
  </conditionalFormatting>
  <conditionalFormatting sqref="D44:E44">
    <cfRule type="expression" dxfId="63" priority="7" stopIfTrue="1">
      <formula>$P$26=""</formula>
    </cfRule>
    <cfRule type="expression" dxfId="62" priority="8" stopIfTrue="1">
      <formula>IF(AND(OR($D$26="Yes",$D$26=""),D44=""),1,0)</formula>
    </cfRule>
  </conditionalFormatting>
  <conditionalFormatting sqref="D45:E45">
    <cfRule type="expression" dxfId="61" priority="9" stopIfTrue="1">
      <formula>$P$39=""</formula>
    </cfRule>
    <cfRule type="expression" dxfId="60" priority="10" stopIfTrue="1">
      <formula>IF(AND(OR($D$27="Yes",$D$27=""),D45=""),1,0)</formula>
    </cfRule>
  </conditionalFormatting>
  <conditionalFormatting sqref="D47:E47">
    <cfRule type="expression" dxfId="59" priority="13" stopIfTrue="1">
      <formula>IF(AND(OR($D$29="Yes",$D$29=""),D47=""),1,0)</formula>
    </cfRule>
  </conditionalFormatting>
  <conditionalFormatting sqref="D18:J18">
    <cfRule type="expression" dxfId="0" priority="1" stopIfTrue="1">
      <formula>IF($D$15="",TRUE)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362DEBB-16FA-4376-81C6-EC1954AA23F7}"/>
    <hyperlink ref="D20" r:id="rId4" xr:uid="{211FF577-F016-48C9-9BC1-0D17231886C4}"/>
    <hyperlink ref="G77" r:id="rId5" xr:uid="{F945704B-F71C-43BF-AFE9-CCCA4D3F5B7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73.95"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465"/>
      <c r="B5" s="457" t="s">
        <v>1131</v>
      </c>
      <c r="C5" s="461" t="s">
        <v>1034</v>
      </c>
      <c r="D5" s="464"/>
      <c r="E5" s="457" t="s">
        <v>880</v>
      </c>
      <c r="F5" s="457" t="s">
        <v>776</v>
      </c>
      <c r="G5" s="457" t="s">
        <v>13459</v>
      </c>
      <c r="H5" s="458">
        <v>0</v>
      </c>
      <c r="I5" s="459" t="s">
        <v>1799</v>
      </c>
      <c r="J5" s="459" t="s">
        <v>9323</v>
      </c>
      <c r="K5" s="462"/>
      <c r="L5" s="462"/>
      <c r="M5" s="462"/>
      <c r="N5" s="462"/>
      <c r="O5" s="462"/>
      <c r="P5" s="460"/>
      <c r="Q5" s="463"/>
      <c r="R5" s="215" t="str">
        <f ca="1">IF(ISERROR($V5),"",OFFSET('Smelter Look-up'!$C$4,$V5-4,0)&amp;"")</f>
        <v>Minsur</v>
      </c>
      <c r="S5" s="222" t="str">
        <f t="shared" ref="S5" ca="1" si="0">IF(B5="","",IF(ISERROR(MATCH($E5,CL,0)),"Unknown",INDIRECT("'C'!$A$"&amp;MATCH($E5,CL,0)+1)))</f>
        <v>PE</v>
      </c>
      <c r="T5" s="222" t="str">
        <f ca="1">IF(B5="","",IF(ISERROR(MATCH($J5,SorP!$B$1:$B$6230,0)),"",INDIRECT("'SorP'!$A$"&amp;MATCH($J5,SorP!$B$1:$B$6230,0))))</f>
        <v>PE-ICA</v>
      </c>
      <c r="U5" s="238"/>
      <c r="V5" s="270">
        <f>IF(C5="",NA(),MATCH($B5&amp;$C5,'Smelter Look-up'!$J:$J,0))</f>
        <v>460</v>
      </c>
      <c r="W5" s="271"/>
      <c r="X5" s="271">
        <f t="shared" ref="X5" si="1">IF(AND(C5="Smelter not listed",OR(LEN(D5)=0,LEN(E5)=0)),1,0)</f>
        <v>0</v>
      </c>
      <c r="Y5" s="271"/>
      <c r="Z5" s="271"/>
      <c r="AB5" s="273" t="str">
        <f t="shared" ref="AB5" si="2">B5&amp;C5</f>
        <v>TinMinsur</v>
      </c>
    </row>
    <row r="6" spans="1:34" s="272" customFormat="1" ht="20.100000000000001" customHeight="1">
      <c r="A6" s="465"/>
      <c r="B6" s="457" t="s">
        <v>1131</v>
      </c>
      <c r="C6" s="461" t="s">
        <v>842</v>
      </c>
      <c r="D6" s="464"/>
      <c r="E6" s="457" t="s">
        <v>2461</v>
      </c>
      <c r="F6" s="457" t="s">
        <v>767</v>
      </c>
      <c r="G6" s="457" t="s">
        <v>13459</v>
      </c>
      <c r="H6" s="458">
        <v>0</v>
      </c>
      <c r="I6" s="459" t="s">
        <v>1782</v>
      </c>
      <c r="J6" s="459" t="s">
        <v>1782</v>
      </c>
      <c r="K6" s="462"/>
      <c r="L6" s="462"/>
      <c r="M6" s="462"/>
      <c r="N6" s="462"/>
      <c r="O6" s="462"/>
      <c r="P6" s="460"/>
      <c r="Q6" s="463"/>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IF(C6="",NA(),MATCH($B6&amp;$C6,'Smelter Look-up'!$J:$J,0))</f>
        <v>412</v>
      </c>
      <c r="W6" s="271"/>
      <c r="X6" s="271">
        <f t="shared" ref="X6:X37" si="4">IF(AND(C6="Smelter not listed",OR(LEN(D6)=0,LEN(E6)=0)),1,0)</f>
        <v>0</v>
      </c>
      <c r="Y6" s="271"/>
      <c r="Z6" s="271"/>
      <c r="AB6" s="273" t="str">
        <f t="shared" ref="AB6:AB37" si="5">B6&amp;C6</f>
        <v>TinEM Vinto</v>
      </c>
    </row>
    <row r="7" spans="1:34" s="272" customFormat="1" ht="20.100000000000001" customHeight="1">
      <c r="A7" s="465"/>
      <c r="B7" s="457" t="s">
        <v>1131</v>
      </c>
      <c r="C7" s="461" t="s">
        <v>14029</v>
      </c>
      <c r="D7" s="464"/>
      <c r="E7" s="457" t="s">
        <v>2461</v>
      </c>
      <c r="F7" s="457" t="s">
        <v>780</v>
      </c>
      <c r="G7" s="457" t="s">
        <v>13459</v>
      </c>
      <c r="H7" s="458">
        <v>0</v>
      </c>
      <c r="I7" s="459" t="s">
        <v>1782</v>
      </c>
      <c r="J7" s="459" t="s">
        <v>1782</v>
      </c>
      <c r="K7" s="462"/>
      <c r="L7" s="462"/>
      <c r="M7" s="462"/>
      <c r="N7" s="462"/>
      <c r="O7" s="462"/>
      <c r="P7" s="460"/>
      <c r="Q7" s="463"/>
      <c r="R7" s="215" t="str">
        <f ca="1">IF(ISERROR($V7),"",OFFSET('Smelter Look-up'!$C$4,$V7-4,0)&amp;"")</f>
        <v>Operaciones Metalurgicas S.A.</v>
      </c>
      <c r="S7" s="222" t="str">
        <f t="shared" ca="1" si="3"/>
        <v>BO</v>
      </c>
      <c r="T7" s="222" t="str">
        <f ca="1">IF(B7="","",IF(ISERROR(MATCH($J7,SorP!$B$1:$B$6230,0)),"",INDIRECT("'SorP'!$A$"&amp;MATCH($J7,SorP!$B$1:$B$6230,0))))</f>
        <v>BO-O</v>
      </c>
      <c r="U7" s="238"/>
      <c r="V7" s="270">
        <f>IF(C7="",NA(),MATCH($B7&amp;$C7,'Smelter Look-up'!$J:$J,0))</f>
        <v>471</v>
      </c>
      <c r="W7" s="271"/>
      <c r="X7" s="271">
        <f t="shared" si="4"/>
        <v>0</v>
      </c>
      <c r="Y7" s="271"/>
      <c r="Z7" s="271"/>
      <c r="AB7" s="273" t="str">
        <f t="shared" si="5"/>
        <v>TinOperaciones Metalurgicas S.A.</v>
      </c>
    </row>
    <row r="8" spans="1:34" s="272" customFormat="1" ht="20.100000000000001" customHeight="1">
      <c r="A8" s="465"/>
      <c r="B8" s="457" t="s">
        <v>1131</v>
      </c>
      <c r="C8" s="461" t="s">
        <v>815</v>
      </c>
      <c r="D8" s="464"/>
      <c r="E8" s="457" t="s">
        <v>882</v>
      </c>
      <c r="F8" s="457" t="s">
        <v>769</v>
      </c>
      <c r="G8" s="457" t="s">
        <v>13459</v>
      </c>
      <c r="H8" s="458">
        <v>0</v>
      </c>
      <c r="I8" s="459" t="s">
        <v>1785</v>
      </c>
      <c r="J8" s="459" t="s">
        <v>9711</v>
      </c>
      <c r="K8" s="462"/>
      <c r="L8" s="462"/>
      <c r="M8" s="462"/>
      <c r="N8" s="462"/>
      <c r="O8" s="462"/>
      <c r="P8" s="460"/>
      <c r="Q8" s="463"/>
      <c r="R8" s="215" t="str">
        <f ca="1">IF(ISERROR($V8),"",OFFSET('Smelter Look-up'!$C$4,$V8-4,0)&amp;"")</f>
        <v>Fenix Metals</v>
      </c>
      <c r="S8" s="222" t="str">
        <f t="shared" ca="1" si="3"/>
        <v>PL</v>
      </c>
      <c r="T8" s="222" t="str">
        <f ca="1">IF(B8="","",IF(ISERROR(MATCH($J8,SorP!$B$1:$B$6230,0)),"",INDIRECT("'SorP'!$A$"&amp;MATCH($J8,SorP!$B$1:$B$6230,0))))</f>
        <v>PL-18</v>
      </c>
      <c r="U8" s="238"/>
      <c r="V8" s="270">
        <f>IF(C8="",NA(),MATCH($B8&amp;$C8,'Smelter Look-up'!$J:$J,0))</f>
        <v>421</v>
      </c>
      <c r="W8" s="271"/>
      <c r="X8" s="271">
        <f t="shared" si="4"/>
        <v>0</v>
      </c>
      <c r="Y8" s="271"/>
      <c r="Z8" s="271"/>
      <c r="AB8" s="273" t="str">
        <f t="shared" si="5"/>
        <v>TinFenix Metals</v>
      </c>
    </row>
    <row r="9" spans="1:34" s="272" customFormat="1" ht="20.100000000000001" customHeight="1">
      <c r="A9" s="465"/>
      <c r="B9" s="457" t="s">
        <v>1131</v>
      </c>
      <c r="C9" s="461" t="s">
        <v>1031</v>
      </c>
      <c r="D9" s="464"/>
      <c r="E9" s="457" t="s">
        <v>888</v>
      </c>
      <c r="F9" s="457" t="s">
        <v>788</v>
      </c>
      <c r="G9" s="457" t="s">
        <v>13459</v>
      </c>
      <c r="H9" s="458">
        <v>0</v>
      </c>
      <c r="I9" s="459" t="s">
        <v>1810</v>
      </c>
      <c r="J9" s="459" t="s">
        <v>1811</v>
      </c>
      <c r="K9" s="462"/>
      <c r="L9" s="462"/>
      <c r="M9" s="462"/>
      <c r="N9" s="462"/>
      <c r="O9" s="462"/>
      <c r="P9" s="460"/>
      <c r="Q9" s="463"/>
      <c r="R9" s="215" t="str">
        <f ca="1">IF(ISERROR($V9),"",OFFSET('Smelter Look-up'!$C$4,$V9-4,0)&amp;"")</f>
        <v>Thaisarco</v>
      </c>
      <c r="S9" s="222" t="str">
        <f t="shared" ca="1" si="3"/>
        <v>TH</v>
      </c>
      <c r="T9" s="222" t="str">
        <f ca="1">IF(B9="","",IF(ISERROR(MATCH($J9,SorP!$B$1:$B$6230,0)),"",INDIRECT("'SorP'!$A$"&amp;MATCH($J9,SorP!$B$1:$B$6230,0))))</f>
        <v>TH-83</v>
      </c>
      <c r="U9" s="238"/>
      <c r="V9" s="270">
        <f>IF(C9="",NA(),MATCH($B9&amp;$C9,'Smelter Look-up'!$J:$J,0))</f>
        <v>504</v>
      </c>
      <c r="W9" s="271"/>
      <c r="X9" s="271">
        <f t="shared" si="4"/>
        <v>0</v>
      </c>
      <c r="Y9" s="271"/>
      <c r="Z9" s="271"/>
      <c r="AB9" s="273" t="str">
        <f t="shared" si="5"/>
        <v>TinThaisarco</v>
      </c>
    </row>
    <row r="10" spans="1:34" s="272" customFormat="1" ht="20.100000000000001" customHeight="1">
      <c r="A10" s="465"/>
      <c r="B10" s="457" t="s">
        <v>1131</v>
      </c>
      <c r="C10" s="461" t="s">
        <v>1327</v>
      </c>
      <c r="D10" s="464"/>
      <c r="E10" s="457" t="s">
        <v>1100</v>
      </c>
      <c r="F10" s="457" t="s">
        <v>773</v>
      </c>
      <c r="G10" s="457" t="s">
        <v>13459</v>
      </c>
      <c r="H10" s="458">
        <v>0</v>
      </c>
      <c r="I10" s="459" t="s">
        <v>1789</v>
      </c>
      <c r="J10" s="459" t="s">
        <v>13826</v>
      </c>
      <c r="K10" s="462"/>
      <c r="L10" s="462"/>
      <c r="M10" s="462"/>
      <c r="N10" s="462"/>
      <c r="O10" s="462"/>
      <c r="P10" s="460"/>
      <c r="Q10" s="463"/>
      <c r="R10" s="215" t="str">
        <f ca="1">IF(ISERROR($V10),"",OFFSET('Smelter Look-up'!$C$4,$V10-4,0)&amp;"")</f>
        <v>China Tin Group Co., Ltd.</v>
      </c>
      <c r="S10" s="222" t="str">
        <f t="shared" ca="1" si="3"/>
        <v>CN</v>
      </c>
      <c r="T10" s="222" t="str">
        <f ca="1">IF(B10="","",IF(ISERROR(MATCH($J10,SorP!$B$1:$B$6230,0)),"",INDIRECT("'SorP'!$A$"&amp;MATCH($J10,SorP!$B$1:$B$6230,0))))</f>
        <v>CN-GX</v>
      </c>
      <c r="U10" s="238"/>
      <c r="V10" s="270">
        <f>IF(C10="",NA(),MATCH($B10&amp;$C10,'Smelter Look-up'!$J:$J,0))</f>
        <v>395</v>
      </c>
      <c r="W10" s="271"/>
      <c r="X10" s="271">
        <f t="shared" si="4"/>
        <v>0</v>
      </c>
      <c r="Y10" s="271"/>
      <c r="Z10" s="271"/>
      <c r="AB10" s="273" t="str">
        <f t="shared" si="5"/>
        <v>TinChina Tin Group Co., Ltd.</v>
      </c>
    </row>
    <row r="11" spans="1:34" s="272" customFormat="1" ht="20.100000000000001" customHeight="1">
      <c r="A11" s="465"/>
      <c r="B11" s="457" t="s">
        <v>1130</v>
      </c>
      <c r="C11" s="461" t="s">
        <v>1702</v>
      </c>
      <c r="D11" s="464"/>
      <c r="E11" s="457" t="s">
        <v>2463</v>
      </c>
      <c r="F11" s="457" t="s">
        <v>1703</v>
      </c>
      <c r="G11" s="457" t="s">
        <v>13459</v>
      </c>
      <c r="H11" s="458">
        <v>0</v>
      </c>
      <c r="I11" s="459" t="s">
        <v>1545</v>
      </c>
      <c r="J11" s="459" t="s">
        <v>1546</v>
      </c>
      <c r="K11" s="462"/>
      <c r="L11" s="462"/>
      <c r="M11" s="462"/>
      <c r="N11" s="462"/>
      <c r="O11" s="462"/>
      <c r="P11" s="460"/>
      <c r="Q11" s="463"/>
      <c r="R11" s="215" t="str">
        <f ca="1">IF(ISERROR($V11),"",OFFSET('Smelter Look-up'!$C$4,$V11-4,0)&amp;"")</f>
        <v>Geib Refining Corporation</v>
      </c>
      <c r="S11" s="222" t="str">
        <f t="shared" ca="1" si="3"/>
        <v>US</v>
      </c>
      <c r="T11" s="222" t="str">
        <f ca="1">IF(B11="","",IF(ISERROR(MATCH($J11,SorP!$B$1:$B$6230,0)),"",INDIRECT("'SorP'!$A$"&amp;MATCH($J11,SorP!$B$1:$B$6230,0))))</f>
        <v>US-RI</v>
      </c>
      <c r="U11" s="238"/>
      <c r="V11" s="270">
        <f>IF(C11="",NA(),MATCH($B11&amp;$C11,'Smelter Look-up'!$J:$J,0))</f>
        <v>85</v>
      </c>
      <c r="W11" s="271"/>
      <c r="X11" s="271">
        <f t="shared" si="4"/>
        <v>0</v>
      </c>
      <c r="Y11" s="271"/>
      <c r="Z11" s="271"/>
      <c r="AB11" s="273" t="str">
        <f t="shared" si="5"/>
        <v>GoldGeib Refining Corporation</v>
      </c>
    </row>
    <row r="12" spans="1:34" s="272" customFormat="1" ht="20.100000000000001" customHeight="1">
      <c r="A12" s="465"/>
      <c r="B12" s="457" t="s">
        <v>1131</v>
      </c>
      <c r="C12" s="461" t="s">
        <v>14025</v>
      </c>
      <c r="D12" s="464"/>
      <c r="E12" s="457" t="s">
        <v>1105</v>
      </c>
      <c r="F12" s="457" t="s">
        <v>784</v>
      </c>
      <c r="G12" s="457" t="s">
        <v>13459</v>
      </c>
      <c r="H12" s="458">
        <v>0</v>
      </c>
      <c r="I12" s="459" t="s">
        <v>1808</v>
      </c>
      <c r="J12" s="459" t="s">
        <v>13066</v>
      </c>
      <c r="K12" s="462"/>
      <c r="L12" s="462"/>
      <c r="M12" s="462"/>
      <c r="N12" s="462"/>
      <c r="O12" s="462"/>
      <c r="P12" s="460"/>
      <c r="Q12" s="463"/>
      <c r="R12" s="215" t="str">
        <f ca="1">IF(ISERROR($V12),"",OFFSET('Smelter Look-up'!$C$4,$V12-4,0)&amp;"")</f>
        <v>PT Timah Tbk Mentok</v>
      </c>
      <c r="S12" s="222" t="str">
        <f t="shared" ca="1" si="3"/>
        <v>ID</v>
      </c>
      <c r="T12" s="222" t="str">
        <f ca="1">IF(B12="","",IF(ISERROR(MATCH($J12,SorP!$B$1:$B$6230,0)),"",INDIRECT("'SorP'!$A$"&amp;MATCH($J12,SorP!$B$1:$B$6230,0))))</f>
        <v>ID-BB</v>
      </c>
      <c r="U12" s="238"/>
      <c r="V12" s="270">
        <f>IF(C12="",NA(),MATCH($B12&amp;$C12,'Smelter Look-up'!$J:$J,0))</f>
        <v>492</v>
      </c>
      <c r="W12" s="271"/>
      <c r="X12" s="271">
        <f t="shared" si="4"/>
        <v>0</v>
      </c>
      <c r="Y12" s="271"/>
      <c r="Z12" s="271"/>
      <c r="AB12" s="273" t="str">
        <f t="shared" si="5"/>
        <v>TinPT Timah Tbk Mentok</v>
      </c>
    </row>
    <row r="13" spans="1:34" s="272" customFormat="1" ht="20.100000000000001" customHeight="1">
      <c r="A13" s="465"/>
      <c r="B13" s="457" t="s">
        <v>1131</v>
      </c>
      <c r="C13" s="461" t="s">
        <v>821</v>
      </c>
      <c r="D13" s="464"/>
      <c r="E13" s="457" t="s">
        <v>1115</v>
      </c>
      <c r="F13" s="457" t="s">
        <v>774</v>
      </c>
      <c r="G13" s="457" t="s">
        <v>13459</v>
      </c>
      <c r="H13" s="458">
        <v>0</v>
      </c>
      <c r="I13" s="459" t="s">
        <v>1794</v>
      </c>
      <c r="J13" s="459" t="s">
        <v>8868</v>
      </c>
      <c r="K13" s="462"/>
      <c r="L13" s="462"/>
      <c r="M13" s="462"/>
      <c r="N13" s="462"/>
      <c r="O13" s="462"/>
      <c r="P13" s="460"/>
      <c r="Q13" s="463"/>
      <c r="R13" s="215" t="str">
        <f ca="1">IF(ISERROR($V13),"",OFFSET('Smelter Look-up'!$C$4,$V13-4,0)&amp;"")</f>
        <v>Malaysia Smelting Corporation (MSC)</v>
      </c>
      <c r="S13" s="222" t="str">
        <f t="shared" ca="1" si="3"/>
        <v>MY</v>
      </c>
      <c r="T13" s="222" t="str">
        <f ca="1">IF(B13="","",IF(ISERROR(MATCH($J13,SorP!$B$1:$B$6230,0)),"",INDIRECT("'SorP'!$A$"&amp;MATCH($J13,SorP!$B$1:$B$6230,0))))</f>
        <v>MY-07</v>
      </c>
      <c r="U13" s="238"/>
      <c r="V13" s="270">
        <f>IF(C13="",NA(),MATCH($B13&amp;$C13,'Smelter Look-up'!$J:$J,0))</f>
        <v>449</v>
      </c>
      <c r="W13" s="271"/>
      <c r="X13" s="271">
        <f t="shared" si="4"/>
        <v>0</v>
      </c>
      <c r="Y13" s="271"/>
      <c r="Z13" s="271"/>
      <c r="AB13" s="273" t="str">
        <f t="shared" si="5"/>
        <v>TinMalaysia Smelting Corporation (MSC)</v>
      </c>
    </row>
    <row r="14" spans="1:34" s="272" customFormat="1" ht="20.100000000000001" customHeight="1">
      <c r="A14" s="465"/>
      <c r="B14" s="457" t="s">
        <v>1131</v>
      </c>
      <c r="C14" s="461" t="s">
        <v>2370</v>
      </c>
      <c r="D14" s="464"/>
      <c r="E14" s="457" t="s">
        <v>1100</v>
      </c>
      <c r="F14" s="457" t="s">
        <v>791</v>
      </c>
      <c r="G14" s="457" t="s">
        <v>13459</v>
      </c>
      <c r="H14" s="458">
        <v>0</v>
      </c>
      <c r="I14" s="459" t="s">
        <v>2477</v>
      </c>
      <c r="J14" s="459" t="s">
        <v>13851</v>
      </c>
      <c r="K14" s="462"/>
      <c r="L14" s="462"/>
      <c r="M14" s="462"/>
      <c r="N14" s="462"/>
      <c r="O14" s="462"/>
      <c r="P14" s="460"/>
      <c r="Q14" s="463"/>
      <c r="R14" s="215" t="str">
        <f ca="1">IF(ISERROR($V14),"",OFFSET('Smelter Look-up'!$C$4,$V14-4,0)&amp;"")</f>
        <v>Yunnan Tin Company Limited</v>
      </c>
      <c r="S14" s="222" t="str">
        <f t="shared" ca="1" si="3"/>
        <v>CN</v>
      </c>
      <c r="T14" s="222" t="str">
        <f ca="1">IF(B14="","",IF(ISERROR(MATCH($J14,SorP!$B$1:$B$6230,0)),"",INDIRECT("'SorP'!$A$"&amp;MATCH($J14,SorP!$B$1:$B$6230,0))))</f>
        <v>CN-YN</v>
      </c>
      <c r="U14" s="238"/>
      <c r="V14" s="270">
        <f>IF(C14="",NA(),MATCH($B14&amp;$C14,'Smelter Look-up'!$J:$J,0))</f>
        <v>524</v>
      </c>
      <c r="W14" s="271"/>
      <c r="X14" s="271">
        <f t="shared" si="4"/>
        <v>0</v>
      </c>
      <c r="Y14" s="271"/>
      <c r="Z14" s="271"/>
      <c r="AB14" s="273" t="str">
        <f t="shared" si="5"/>
        <v>TinYunnan Tin Company Limited</v>
      </c>
    </row>
    <row r="15" spans="1:34" s="272" customFormat="1" ht="20.100000000000001" customHeight="1">
      <c r="A15" s="465"/>
      <c r="B15" s="457" t="s">
        <v>1131</v>
      </c>
      <c r="C15" s="461" t="s">
        <v>14026</v>
      </c>
      <c r="D15" s="464"/>
      <c r="E15" s="457" t="s">
        <v>1105</v>
      </c>
      <c r="F15" s="457" t="s">
        <v>804</v>
      </c>
      <c r="G15" s="457" t="s">
        <v>13459</v>
      </c>
      <c r="H15" s="458">
        <v>0</v>
      </c>
      <c r="I15" s="459" t="s">
        <v>1806</v>
      </c>
      <c r="J15" s="459" t="s">
        <v>6135</v>
      </c>
      <c r="K15" s="462"/>
      <c r="L15" s="462"/>
      <c r="M15" s="462"/>
      <c r="N15" s="462"/>
      <c r="O15" s="462"/>
      <c r="P15" s="460"/>
      <c r="Q15" s="463"/>
      <c r="R15" s="215" t="str">
        <f ca="1">IF(ISERROR($V15),"",OFFSET('Smelter Look-up'!$C$4,$V15-4,0)&amp;"")</f>
        <v>PT Timah Tbk Kundur</v>
      </c>
      <c r="S15" s="222" t="str">
        <f t="shared" ca="1" si="3"/>
        <v>ID</v>
      </c>
      <c r="T15" s="222" t="str">
        <f ca="1">IF(B15="","",IF(ISERROR(MATCH($J15,SorP!$B$1:$B$6230,0)),"",INDIRECT("'SorP'!$A$"&amp;MATCH($J15,SorP!$B$1:$B$6230,0))))</f>
        <v>ID-RI</v>
      </c>
      <c r="U15" s="238"/>
      <c r="V15" s="270">
        <f>IF(C15="",NA(),MATCH($B15&amp;$C15,'Smelter Look-up'!$J:$J,0))</f>
        <v>491</v>
      </c>
      <c r="W15" s="271"/>
      <c r="X15" s="271">
        <f t="shared" si="4"/>
        <v>0</v>
      </c>
      <c r="Y15" s="271"/>
      <c r="Z15" s="271"/>
      <c r="AB15" s="273" t="str">
        <f t="shared" si="5"/>
        <v>TinPT Timah Tbk Kundur</v>
      </c>
    </row>
    <row r="16" spans="1:34" s="272" customFormat="1" ht="20.100000000000001" customHeight="1">
      <c r="A16" s="465"/>
      <c r="B16" s="457" t="s">
        <v>1131</v>
      </c>
      <c r="C16" s="461" t="s">
        <v>2566</v>
      </c>
      <c r="D16" s="464"/>
      <c r="E16" s="457" t="s">
        <v>1096</v>
      </c>
      <c r="F16" s="457" t="s">
        <v>789</v>
      </c>
      <c r="G16" s="457" t="s">
        <v>13459</v>
      </c>
      <c r="H16" s="458">
        <v>0</v>
      </c>
      <c r="I16" s="459" t="s">
        <v>1779</v>
      </c>
      <c r="J16" s="459" t="s">
        <v>1783</v>
      </c>
      <c r="K16" s="462"/>
      <c r="L16" s="462"/>
      <c r="M16" s="462"/>
      <c r="N16" s="462"/>
      <c r="O16" s="462"/>
      <c r="P16" s="460"/>
      <c r="Q16" s="463"/>
      <c r="R16" s="215" t="str">
        <f ca="1">IF(ISERROR($V16),"",OFFSET('Smelter Look-up'!$C$4,$V16-4,0)&amp;"")</f>
        <v>White Solder Metalurgia e Mineracao Ltda.</v>
      </c>
      <c r="S16" s="222" t="str">
        <f t="shared" ca="1" si="3"/>
        <v>BR</v>
      </c>
      <c r="T16" s="222" t="str">
        <f ca="1">IF(B16="","",IF(ISERROR(MATCH($J16,SorP!$B$1:$B$6230,0)),"",INDIRECT("'SorP'!$A$"&amp;MATCH($J16,SorP!$B$1:$B$6230,0))))</f>
        <v>BR-RO</v>
      </c>
      <c r="U16" s="238"/>
      <c r="V16" s="270">
        <f>IF(C16="",NA(),MATCH($B16&amp;$C16,'Smelter Look-up'!$J:$J,0))</f>
        <v>512</v>
      </c>
      <c r="W16" s="271"/>
      <c r="X16" s="271">
        <f t="shared" si="4"/>
        <v>0</v>
      </c>
      <c r="Y16" s="271"/>
      <c r="Z16" s="271"/>
      <c r="AB16" s="273" t="str">
        <f t="shared" si="5"/>
        <v>TinWhite Solder Metalurgia e Mineracao Ltda.</v>
      </c>
    </row>
    <row r="17" spans="1:28" s="272" customFormat="1" ht="20.100000000000001" customHeight="1">
      <c r="A17" s="465"/>
      <c r="B17" s="457" t="s">
        <v>1131</v>
      </c>
      <c r="C17" s="461" t="s">
        <v>1164</v>
      </c>
      <c r="D17" s="464"/>
      <c r="E17" s="457" t="s">
        <v>1108</v>
      </c>
      <c r="F17" s="457" t="s">
        <v>777</v>
      </c>
      <c r="G17" s="457" t="s">
        <v>13459</v>
      </c>
      <c r="H17" s="458">
        <v>0</v>
      </c>
      <c r="I17" s="459" t="s">
        <v>15615</v>
      </c>
      <c r="J17" s="459" t="s">
        <v>1558</v>
      </c>
      <c r="K17" s="462"/>
      <c r="L17" s="462"/>
      <c r="M17" s="462"/>
      <c r="N17" s="462"/>
      <c r="O17" s="462"/>
      <c r="P17" s="460"/>
      <c r="Q17" s="463"/>
      <c r="R17" s="215" t="str">
        <f ca="1">IF(ISERROR($V17),"",OFFSET('Smelter Look-up'!$C$4,$V17-4,0)&amp;"")</f>
        <v>Mitsubishi Materials Corporation</v>
      </c>
      <c r="S17" s="222" t="str">
        <f t="shared" ca="1" si="3"/>
        <v>JP</v>
      </c>
      <c r="T17" s="222" t="str">
        <f ca="1">IF(B17="","",IF(ISERROR(MATCH($J17,SorP!$B$1:$B$6230,0)),"",INDIRECT("'SorP'!$A$"&amp;MATCH($J17,SorP!$B$1:$B$6230,0))))</f>
        <v>JP-28</v>
      </c>
      <c r="U17" s="238"/>
      <c r="V17" s="270">
        <f>IF(C17="",NA(),MATCH($B17&amp;$C17,'Smelter Look-up'!$J:$J,0))</f>
        <v>461</v>
      </c>
      <c r="W17" s="271"/>
      <c r="X17" s="271">
        <f t="shared" si="4"/>
        <v>0</v>
      </c>
      <c r="Y17" s="271"/>
      <c r="Z17" s="271"/>
      <c r="AB17" s="273" t="str">
        <f t="shared" si="5"/>
        <v>TinMitsubishi Materials Corporation</v>
      </c>
    </row>
    <row r="18" spans="1:28" s="272" customFormat="1" ht="20.100000000000001" customHeight="1">
      <c r="A18" s="456"/>
      <c r="B18" s="457" t="s">
        <v>1131</v>
      </c>
      <c r="C18" s="461" t="s">
        <v>13149</v>
      </c>
      <c r="D18" s="464"/>
      <c r="E18" s="457" t="s">
        <v>1095</v>
      </c>
      <c r="F18" s="457" t="s">
        <v>1830</v>
      </c>
      <c r="G18" s="457" t="s">
        <v>13459</v>
      </c>
      <c r="H18" s="458">
        <v>0</v>
      </c>
      <c r="I18" s="459" t="s">
        <v>1831</v>
      </c>
      <c r="J18" s="459" t="s">
        <v>3190</v>
      </c>
      <c r="K18" s="462"/>
      <c r="L18" s="462"/>
      <c r="M18" s="462"/>
      <c r="N18" s="462"/>
      <c r="O18" s="462"/>
      <c r="P18" s="460"/>
      <c r="Q18" s="463"/>
      <c r="R18" s="215" t="str">
        <f ca="1">IF(ISERROR($V18),"",OFFSET('Smelter Look-up'!$C$4,$V18-4,0)&amp;"")</f>
        <v>Metallo Belgium N.V.</v>
      </c>
      <c r="S18" s="222" t="str">
        <f t="shared" ca="1" si="3"/>
        <v>BE</v>
      </c>
      <c r="T18" s="222" t="str">
        <f ca="1">IF(B18="","",IF(ISERROR(MATCH($J18,SorP!$B$1:$B$6230,0)),"",INDIRECT("'SorP'!$A$"&amp;MATCH($J18,SorP!$B$1:$B$6230,0))))</f>
        <v>BE-VAN</v>
      </c>
      <c r="U18" s="238"/>
      <c r="V18" s="270">
        <f>IF(C18="",NA(),MATCH($B18&amp;$C18,'Smelter Look-up'!$J:$J,0))</f>
        <v>454</v>
      </c>
      <c r="W18" s="271"/>
      <c r="X18" s="271">
        <f t="shared" si="4"/>
        <v>0</v>
      </c>
      <c r="Y18" s="271"/>
      <c r="Z18" s="271"/>
      <c r="AB18" s="273" t="str">
        <f t="shared" si="5"/>
        <v>TinMetallo Belgium N.V.</v>
      </c>
    </row>
    <row r="19" spans="1:28" s="272" customFormat="1" ht="20.25">
      <c r="A19" s="456"/>
      <c r="B19" s="457" t="s">
        <v>1131</v>
      </c>
      <c r="C19" s="461" t="s">
        <v>2562</v>
      </c>
      <c r="D19" s="464"/>
      <c r="E19" s="457" t="s">
        <v>1100</v>
      </c>
      <c r="F19" s="457" t="s">
        <v>2563</v>
      </c>
      <c r="G19" s="457" t="s">
        <v>13459</v>
      </c>
      <c r="H19" s="458">
        <v>0</v>
      </c>
      <c r="I19" s="459" t="s">
        <v>1839</v>
      </c>
      <c r="J19" s="459" t="s">
        <v>13847</v>
      </c>
      <c r="K19" s="462"/>
      <c r="L19" s="462"/>
      <c r="M19" s="462"/>
      <c r="N19" s="462"/>
      <c r="O19" s="462"/>
      <c r="P19" s="460"/>
      <c r="Q19" s="463"/>
      <c r="R19" s="215" t="str">
        <f ca="1">IF(ISERROR($V19),"",OFFSET('Smelter Look-up'!$C$4,$V19-4,0)&amp;"")</f>
        <v>Guangdong Hanhe Non-Ferrous Metal Co., Ltd.</v>
      </c>
      <c r="S19" s="222" t="str">
        <f t="shared" ca="1" si="3"/>
        <v>CN</v>
      </c>
      <c r="T19" s="222" t="str">
        <f ca="1">IF(B19="","",IF(ISERROR(MATCH($J19,SorP!$B$1:$B$6230,0)),"",INDIRECT("'SorP'!$A$"&amp;MATCH($J19,SorP!$B$1:$B$6230,0))))</f>
        <v>CN-GD</v>
      </c>
      <c r="U19" s="238"/>
      <c r="V19" s="270">
        <f>IF(C19="",NA(),MATCH($B19&amp;$C19,'Smelter Look-up'!$J:$J,0))</f>
        <v>434</v>
      </c>
      <c r="W19" s="271"/>
      <c r="X19" s="271">
        <f t="shared" si="4"/>
        <v>0</v>
      </c>
      <c r="Y19" s="271"/>
      <c r="Z19" s="271"/>
      <c r="AB19" s="273" t="str">
        <f t="shared" si="5"/>
        <v>TinGuangdong Hanhe Non-Ferrous Metal Co., Ltd.</v>
      </c>
    </row>
    <row r="20" spans="1:28" s="272" customFormat="1" ht="25.5">
      <c r="A20" s="456"/>
      <c r="B20" s="457" t="s">
        <v>1131</v>
      </c>
      <c r="C20" s="461" t="s">
        <v>2165</v>
      </c>
      <c r="D20" s="464"/>
      <c r="E20" s="457" t="s">
        <v>2463</v>
      </c>
      <c r="F20" s="457" t="s">
        <v>1795</v>
      </c>
      <c r="G20" s="457" t="s">
        <v>13459</v>
      </c>
      <c r="H20" s="458">
        <v>0</v>
      </c>
      <c r="I20" s="459" t="s">
        <v>1796</v>
      </c>
      <c r="J20" s="459" t="s">
        <v>1642</v>
      </c>
      <c r="K20" s="462"/>
      <c r="L20" s="462"/>
      <c r="M20" s="462"/>
      <c r="N20" s="462"/>
      <c r="O20" s="462"/>
      <c r="P20" s="460"/>
      <c r="Q20" s="463"/>
      <c r="R20" s="215" t="str">
        <f ca="1">IF(ISERROR($V20),"",OFFSET('Smelter Look-up'!$C$4,$V20-4,0)&amp;"")</f>
        <v>Metallic Resources, Inc.</v>
      </c>
      <c r="S20" s="222" t="str">
        <f t="shared" ca="1" si="3"/>
        <v>US</v>
      </c>
      <c r="T20" s="222" t="str">
        <f ca="1">IF(B20="","",IF(ISERROR(MATCH($J20,SorP!$B$1:$B$6230,0)),"",INDIRECT("'SorP'!$A$"&amp;MATCH($J20,SorP!$B$1:$B$6230,0))))</f>
        <v>US-OH</v>
      </c>
      <c r="U20" s="238"/>
      <c r="V20" s="270">
        <f>IF(C20="",NA(),MATCH($B20&amp;$C20,'Smelter Look-up'!$J:$J,0))</f>
        <v>453</v>
      </c>
      <c r="W20" s="271"/>
      <c r="X20" s="271">
        <f t="shared" si="4"/>
        <v>0</v>
      </c>
      <c r="Y20" s="271"/>
      <c r="Z20" s="271"/>
      <c r="AB20" s="273" t="str">
        <f t="shared" si="5"/>
        <v>TinMetallic Resources, Inc.</v>
      </c>
    </row>
    <row r="21" spans="1:28" s="272" customFormat="1" ht="25.5">
      <c r="A21" s="456"/>
      <c r="B21" s="457" t="s">
        <v>1131</v>
      </c>
      <c r="C21" s="461" t="s">
        <v>2183</v>
      </c>
      <c r="D21" s="464"/>
      <c r="E21" s="457" t="s">
        <v>1100</v>
      </c>
      <c r="F21" s="457" t="s">
        <v>790</v>
      </c>
      <c r="G21" s="457" t="s">
        <v>13459</v>
      </c>
      <c r="H21" s="458">
        <v>0</v>
      </c>
      <c r="I21" s="459" t="s">
        <v>2477</v>
      </c>
      <c r="J21" s="459" t="s">
        <v>13851</v>
      </c>
      <c r="K21" s="462"/>
      <c r="L21" s="462"/>
      <c r="M21" s="462"/>
      <c r="N21" s="462"/>
      <c r="O21" s="462"/>
      <c r="P21" s="460"/>
      <c r="Q21" s="463"/>
      <c r="R21" s="215" t="str">
        <f ca="1">IF(ISERROR($V21),"",OFFSET('Smelter Look-up'!$C$4,$V21-4,0)&amp;"")</f>
        <v>Yunnan Chengfeng Non-ferrous Metals Co., Ltd.</v>
      </c>
      <c r="S21" s="222" t="str">
        <f t="shared" ca="1" si="3"/>
        <v>CN</v>
      </c>
      <c r="T21" s="222" t="str">
        <f ca="1">IF(B21="","",IF(ISERROR(MATCH($J21,SorP!$B$1:$B$6230,0)),"",INDIRECT("'SorP'!$A$"&amp;MATCH($J21,SorP!$B$1:$B$6230,0))))</f>
        <v>CN-YN</v>
      </c>
      <c r="U21" s="238"/>
      <c r="V21" s="270">
        <f>IF(C21="",NA(),MATCH($B21&amp;$C21,'Smelter Look-up'!$J:$J,0))</f>
        <v>520</v>
      </c>
      <c r="W21" s="271"/>
      <c r="X21" s="271">
        <f t="shared" si="4"/>
        <v>0</v>
      </c>
      <c r="Y21" s="271"/>
      <c r="Z21" s="271"/>
      <c r="AB21" s="273" t="str">
        <f t="shared" si="5"/>
        <v>TinYunnan Chengfeng Non-ferrous Metals Co., Ltd.</v>
      </c>
    </row>
    <row r="22" spans="1:28" s="272" customFormat="1" ht="25.5">
      <c r="A22" s="456"/>
      <c r="B22" s="457" t="s">
        <v>1131</v>
      </c>
      <c r="C22" s="461" t="s">
        <v>785</v>
      </c>
      <c r="D22" s="464"/>
      <c r="E22" s="457" t="s">
        <v>2462</v>
      </c>
      <c r="F22" s="457" t="s">
        <v>786</v>
      </c>
      <c r="G22" s="457" t="s">
        <v>13459</v>
      </c>
      <c r="H22" s="458">
        <v>0</v>
      </c>
      <c r="I22" s="459" t="s">
        <v>14059</v>
      </c>
      <c r="J22" s="459" t="s">
        <v>1711</v>
      </c>
      <c r="K22" s="462"/>
      <c r="L22" s="462"/>
      <c r="M22" s="462"/>
      <c r="N22" s="462"/>
      <c r="O22" s="462"/>
      <c r="P22" s="460"/>
      <c r="Q22" s="463"/>
      <c r="R22" s="215" t="str">
        <f ca="1">IF(ISERROR($V22),"",OFFSET('Smelter Look-up'!$C$4,$V22-4,0)&amp;"")</f>
        <v>Rui Da Hung</v>
      </c>
      <c r="S22" s="222" t="str">
        <f t="shared" ca="1" si="3"/>
        <v>TW</v>
      </c>
      <c r="T22" s="222" t="str">
        <f ca="1">IF(B22="","",IF(ISERROR(MATCH($J22,SorP!$B$1:$B$6230,0)),"",INDIRECT("'SorP'!$A$"&amp;MATCH($J22,SorP!$B$1:$B$6230,0))))</f>
        <v>TW-TAO</v>
      </c>
      <c r="U22" s="238"/>
      <c r="V22" s="270">
        <f>IF(C22="",NA(),MATCH($B22&amp;$C22,'Smelter Look-up'!$J:$J,0))</f>
        <v>497</v>
      </c>
      <c r="W22" s="271"/>
      <c r="X22" s="271">
        <f t="shared" si="4"/>
        <v>0</v>
      </c>
      <c r="Y22" s="271"/>
      <c r="Z22" s="271"/>
      <c r="AB22" s="273" t="str">
        <f t="shared" si="5"/>
        <v>TinRui Da Hung</v>
      </c>
    </row>
    <row r="23" spans="1:28" s="272" customFormat="1" ht="20.25">
      <c r="A23" s="456"/>
      <c r="B23" s="457" t="s">
        <v>1131</v>
      </c>
      <c r="C23" s="461" t="s">
        <v>13145</v>
      </c>
      <c r="D23" s="464"/>
      <c r="E23" s="457" t="s">
        <v>1096</v>
      </c>
      <c r="F23" s="457" t="s">
        <v>775</v>
      </c>
      <c r="G23" s="457" t="s">
        <v>13459</v>
      </c>
      <c r="H23" s="458">
        <v>0</v>
      </c>
      <c r="I23" s="459" t="s">
        <v>1797</v>
      </c>
      <c r="J23" s="459" t="s">
        <v>1683</v>
      </c>
      <c r="K23" s="462"/>
      <c r="L23" s="462"/>
      <c r="M23" s="462"/>
      <c r="N23" s="462"/>
      <c r="O23" s="462"/>
      <c r="P23" s="460"/>
      <c r="Q23" s="463"/>
      <c r="R23" s="215" t="str">
        <f ca="1">IF(ISERROR($V23),"",OFFSET('Smelter Look-up'!$C$4,$V23-4,0)&amp;"")</f>
        <v>Mineracao Taboca S.A.</v>
      </c>
      <c r="S23" s="222" t="str">
        <f t="shared" ca="1" si="3"/>
        <v>BR</v>
      </c>
      <c r="T23" s="222" t="str">
        <f ca="1">IF(B23="","",IF(ISERROR(MATCH($J23,SorP!$B$1:$B$6230,0)),"",INDIRECT("'SorP'!$A$"&amp;MATCH($J23,SorP!$B$1:$B$6230,0))))</f>
        <v>BR-SP</v>
      </c>
      <c r="U23" s="238"/>
      <c r="V23" s="270">
        <f>IF(C23="",NA(),MATCH($B23&amp;$C23,'Smelter Look-up'!$J:$J,0))</f>
        <v>458</v>
      </c>
      <c r="W23" s="271"/>
      <c r="X23" s="271">
        <f t="shared" si="4"/>
        <v>0</v>
      </c>
      <c r="Y23" s="271"/>
      <c r="Z23" s="271"/>
      <c r="AB23" s="273" t="str">
        <f t="shared" si="5"/>
        <v>TinMineracao Taboca SA</v>
      </c>
    </row>
    <row r="24" spans="1:28" s="272" customFormat="1" ht="20.25">
      <c r="A24" s="456"/>
      <c r="B24" s="457" t="s">
        <v>1131</v>
      </c>
      <c r="C24" s="461" t="s">
        <v>778</v>
      </c>
      <c r="D24" s="464"/>
      <c r="E24" s="457" t="s">
        <v>888</v>
      </c>
      <c r="F24" s="457" t="s">
        <v>779</v>
      </c>
      <c r="G24" s="457" t="s">
        <v>13459</v>
      </c>
      <c r="H24" s="458">
        <v>0</v>
      </c>
      <c r="I24" s="459" t="s">
        <v>2368</v>
      </c>
      <c r="J24" s="459" t="s">
        <v>11235</v>
      </c>
      <c r="K24" s="462"/>
      <c r="L24" s="462"/>
      <c r="M24" s="462"/>
      <c r="N24" s="462"/>
      <c r="O24" s="462"/>
      <c r="P24" s="460"/>
      <c r="Q24" s="463"/>
      <c r="R24" s="215" t="str">
        <f ca="1">IF(ISERROR($V24),"",OFFSET('Smelter Look-up'!$C$4,$V24-4,0)&amp;"")</f>
        <v>O.M. Manufacturing (Thailand) Co., Ltd.</v>
      </c>
      <c r="S24" s="222" t="str">
        <f t="shared" ca="1" si="3"/>
        <v>TH</v>
      </c>
      <c r="T24" s="222" t="str">
        <f ca="1">IF(B24="","",IF(ISERROR(MATCH($J24,SorP!$B$1:$B$6230,0)),"",INDIRECT("'SorP'!$A$"&amp;MATCH($J24,SorP!$B$1:$B$6230,0))))</f>
        <v>TH-20</v>
      </c>
      <c r="U24" s="238"/>
      <c r="V24" s="270">
        <f>IF(C24="",NA(),MATCH($B24&amp;$C24,'Smelter Look-up'!$J:$J,0))</f>
        <v>468</v>
      </c>
      <c r="W24" s="271"/>
      <c r="X24" s="271">
        <f t="shared" si="4"/>
        <v>0</v>
      </c>
      <c r="Y24" s="271"/>
      <c r="Z24" s="271"/>
      <c r="AB24" s="273" t="str">
        <f t="shared" si="5"/>
        <v>TinO.M. Manufacturing (Thailand) Co., Ltd.</v>
      </c>
    </row>
    <row r="25" spans="1:28" s="272" customFormat="1" ht="25.5">
      <c r="A25" s="456"/>
      <c r="B25" s="457" t="s">
        <v>1131</v>
      </c>
      <c r="C25" s="461" t="s">
        <v>844</v>
      </c>
      <c r="D25" s="464"/>
      <c r="E25" s="457" t="s">
        <v>1105</v>
      </c>
      <c r="F25" s="457" t="s">
        <v>781</v>
      </c>
      <c r="G25" s="457" t="s">
        <v>13459</v>
      </c>
      <c r="H25" s="458">
        <v>0</v>
      </c>
      <c r="I25" s="459" t="s">
        <v>1780</v>
      </c>
      <c r="J25" s="459" t="s">
        <v>13066</v>
      </c>
      <c r="K25" s="462"/>
      <c r="L25" s="462"/>
      <c r="M25" s="462"/>
      <c r="N25" s="462"/>
      <c r="O25" s="462"/>
      <c r="P25" s="460"/>
      <c r="Q25" s="463"/>
      <c r="R25" s="215" t="str">
        <f ca="1">IF(ISERROR($V25),"",OFFSET('Smelter Look-up'!$C$4,$V25-4,0)&amp;"")</f>
        <v>PT Artha Cipta Langgeng</v>
      </c>
      <c r="S25" s="222" t="str">
        <f t="shared" ca="1" si="3"/>
        <v>ID</v>
      </c>
      <c r="T25" s="222" t="str">
        <f ca="1">IF(B25="","",IF(ISERROR(MATCH($J25,SorP!$B$1:$B$6230,0)),"",INDIRECT("'SorP'!$A$"&amp;MATCH($J25,SorP!$B$1:$B$6230,0))))</f>
        <v>ID-BB</v>
      </c>
      <c r="U25" s="238"/>
      <c r="V25" s="270">
        <f>IF(C25="",NA(),MATCH($B25&amp;$C25,'Smelter Look-up'!$J:$J,0))</f>
        <v>476</v>
      </c>
      <c r="W25" s="271"/>
      <c r="X25" s="271">
        <f t="shared" si="4"/>
        <v>0</v>
      </c>
      <c r="Y25" s="271"/>
      <c r="Z25" s="271"/>
      <c r="AB25" s="273" t="str">
        <f t="shared" si="5"/>
        <v>TinPT Artha Cipta Langgeng</v>
      </c>
    </row>
    <row r="26" spans="1:28" s="272" customFormat="1" ht="25.5">
      <c r="A26" s="456"/>
      <c r="B26" s="457" t="s">
        <v>1131</v>
      </c>
      <c r="C26" s="461" t="s">
        <v>627</v>
      </c>
      <c r="D26" s="464"/>
      <c r="E26" s="457" t="s">
        <v>1105</v>
      </c>
      <c r="F26" s="457" t="s">
        <v>782</v>
      </c>
      <c r="G26" s="457" t="s">
        <v>13459</v>
      </c>
      <c r="H26" s="458">
        <v>0</v>
      </c>
      <c r="I26" s="459" t="s">
        <v>1780</v>
      </c>
      <c r="J26" s="459" t="s">
        <v>13066</v>
      </c>
      <c r="K26" s="462"/>
      <c r="L26" s="462"/>
      <c r="M26" s="462"/>
      <c r="N26" s="462"/>
      <c r="O26" s="462"/>
      <c r="P26" s="460"/>
      <c r="Q26" s="463"/>
      <c r="R26" s="215" t="str">
        <f ca="1">IF(ISERROR($V26),"",OFFSET('Smelter Look-up'!$C$4,$V26-4,0)&amp;"")</f>
        <v>PT Mitra Stania Prima</v>
      </c>
      <c r="S26" s="222" t="str">
        <f t="shared" ca="1" si="3"/>
        <v>ID</v>
      </c>
      <c r="T26" s="222" t="str">
        <f ca="1">IF(B26="","",IF(ISERROR(MATCH($J26,SorP!$B$1:$B$6230,0)),"",INDIRECT("'SorP'!$A$"&amp;MATCH($J26,SorP!$B$1:$B$6230,0))))</f>
        <v>ID-BB</v>
      </c>
      <c r="U26" s="238"/>
      <c r="V26" s="270">
        <f>IF(C26="",NA(),MATCH($B26&amp;$C26,'Smelter Look-up'!$J:$J,0))</f>
        <v>482</v>
      </c>
      <c r="W26" s="271"/>
      <c r="X26" s="271">
        <f t="shared" si="4"/>
        <v>0</v>
      </c>
      <c r="Y26" s="271"/>
      <c r="Z26" s="271"/>
      <c r="AB26" s="273" t="str">
        <f t="shared" si="5"/>
        <v>TinPT Mitra Stania Prima</v>
      </c>
    </row>
    <row r="27" spans="1:28" s="272" customFormat="1" ht="25.5">
      <c r="A27" s="456"/>
      <c r="B27" s="457" t="s">
        <v>1131</v>
      </c>
      <c r="C27" s="461" t="s">
        <v>2173</v>
      </c>
      <c r="D27" s="464"/>
      <c r="E27" s="457" t="s">
        <v>1105</v>
      </c>
      <c r="F27" s="457" t="s">
        <v>783</v>
      </c>
      <c r="G27" s="457" t="s">
        <v>13459</v>
      </c>
      <c r="H27" s="458">
        <v>0</v>
      </c>
      <c r="I27" s="459" t="s">
        <v>1780</v>
      </c>
      <c r="J27" s="459" t="s">
        <v>13066</v>
      </c>
      <c r="K27" s="462"/>
      <c r="L27" s="462"/>
      <c r="M27" s="462"/>
      <c r="N27" s="462"/>
      <c r="O27" s="462"/>
      <c r="P27" s="460"/>
      <c r="Q27" s="463"/>
      <c r="R27" s="215" t="str">
        <f ca="1">IF(ISERROR($V27),"",OFFSET('Smelter Look-up'!$C$4,$V27-4,0)&amp;"")</f>
        <v>PT Refined Bangka Tin</v>
      </c>
      <c r="S27" s="222" t="str">
        <f t="shared" ca="1" si="3"/>
        <v>ID</v>
      </c>
      <c r="T27" s="222" t="str">
        <f ca="1">IF(B27="","",IF(ISERROR(MATCH($J27,SorP!$B$1:$B$6230,0)),"",INDIRECT("'SorP'!$A$"&amp;MATCH($J27,SorP!$B$1:$B$6230,0))))</f>
        <v>ID-BB</v>
      </c>
      <c r="U27" s="238"/>
      <c r="V27" s="270">
        <f>IF(C27="",NA(),MATCH($B27&amp;$C27,'Smelter Look-up'!$J:$J,0))</f>
        <v>487</v>
      </c>
      <c r="W27" s="271"/>
      <c r="X27" s="271">
        <f t="shared" si="4"/>
        <v>0</v>
      </c>
      <c r="Y27" s="271"/>
      <c r="Z27" s="271"/>
      <c r="AB27" s="273" t="str">
        <f t="shared" si="5"/>
        <v>TinPT Refined Bangka Tin</v>
      </c>
    </row>
    <row r="28" spans="1:28" s="272" customFormat="1" ht="20.25">
      <c r="A28" s="456"/>
      <c r="B28" s="457" t="s">
        <v>1131</v>
      </c>
      <c r="C28" s="461" t="s">
        <v>13150</v>
      </c>
      <c r="D28" s="464"/>
      <c r="E28" s="457" t="s">
        <v>1102</v>
      </c>
      <c r="F28" s="457" t="s">
        <v>1832</v>
      </c>
      <c r="G28" s="457" t="s">
        <v>13459</v>
      </c>
      <c r="H28" s="458">
        <v>0</v>
      </c>
      <c r="I28" s="459" t="s">
        <v>1833</v>
      </c>
      <c r="J28" s="459" t="s">
        <v>12624</v>
      </c>
      <c r="K28" s="462"/>
      <c r="L28" s="462"/>
      <c r="M28" s="462"/>
      <c r="N28" s="462"/>
      <c r="O28" s="462"/>
      <c r="P28" s="460"/>
      <c r="Q28" s="463"/>
      <c r="R28" s="215" t="str">
        <f ca="1">IF(ISERROR($V28),"",OFFSET('Smelter Look-up'!$C$4,$V28-4,0)&amp;"")</f>
        <v>Metallo Spain S.L.U.</v>
      </c>
      <c r="S28" s="222" t="str">
        <f t="shared" ca="1" si="3"/>
        <v>ES</v>
      </c>
      <c r="T28" s="222" t="str">
        <f ca="1">IF(B28="","",IF(ISERROR(MATCH($J28,SorP!$B$1:$B$6230,0)),"",INDIRECT("'SorP'!$A$"&amp;MATCH($J28,SorP!$B$1:$B$6230,0))))</f>
        <v>ES-BI</v>
      </c>
      <c r="U28" s="238"/>
      <c r="V28" s="270">
        <f>IF(C28="",NA(),MATCH($B28&amp;$C28,'Smelter Look-up'!$J:$J,0))</f>
        <v>455</v>
      </c>
      <c r="W28" s="271"/>
      <c r="X28" s="271">
        <f t="shared" si="4"/>
        <v>0</v>
      </c>
      <c r="Y28" s="271"/>
      <c r="Z28" s="271"/>
      <c r="AB28" s="273" t="str">
        <f t="shared" si="5"/>
        <v>TinMetallo Spain S.L.U.</v>
      </c>
    </row>
    <row r="29" spans="1:28" s="272" customFormat="1" ht="20.25">
      <c r="A29" s="456"/>
      <c r="B29" s="457" t="s">
        <v>1131</v>
      </c>
      <c r="C29" s="461" t="s">
        <v>821</v>
      </c>
      <c r="D29" s="464"/>
      <c r="E29" s="457" t="s">
        <v>1115</v>
      </c>
      <c r="F29" s="457" t="s">
        <v>774</v>
      </c>
      <c r="G29" s="457" t="s">
        <v>13459</v>
      </c>
      <c r="H29" s="458">
        <v>0</v>
      </c>
      <c r="I29" s="459" t="s">
        <v>1794</v>
      </c>
      <c r="J29" s="459" t="s">
        <v>8868</v>
      </c>
      <c r="K29" s="462"/>
      <c r="L29" s="462"/>
      <c r="M29" s="462"/>
      <c r="N29" s="462"/>
      <c r="O29" s="462"/>
      <c r="P29" s="460"/>
      <c r="Q29" s="463"/>
      <c r="R29" s="215" t="str">
        <f ca="1">IF(ISERROR($V29),"",OFFSET('Smelter Look-up'!$C$4,$V29-4,0)&amp;"")</f>
        <v>Malaysia Smelting Corporation (MSC)</v>
      </c>
      <c r="S29" s="222" t="str">
        <f t="shared" ca="1" si="3"/>
        <v>MY</v>
      </c>
      <c r="T29" s="222" t="str">
        <f ca="1">IF(B29="","",IF(ISERROR(MATCH($J29,SorP!$B$1:$B$6230,0)),"",INDIRECT("'SorP'!$A$"&amp;MATCH($J29,SorP!$B$1:$B$6230,0))))</f>
        <v>MY-07</v>
      </c>
      <c r="U29" s="238"/>
      <c r="V29" s="270">
        <f>IF(C29="",NA(),MATCH($B29&amp;$C29,'Smelter Look-up'!$J:$J,0))</f>
        <v>449</v>
      </c>
      <c r="W29" s="271"/>
      <c r="X29" s="271">
        <f t="shared" si="4"/>
        <v>0</v>
      </c>
      <c r="Y29" s="271"/>
      <c r="Z29" s="271"/>
      <c r="AB29" s="273" t="str">
        <f t="shared" si="5"/>
        <v>TinMalaysia Smelting Corporation (MSC)</v>
      </c>
    </row>
    <row r="30" spans="1:28" s="272" customFormat="1" ht="20.25">
      <c r="A30" s="456"/>
      <c r="B30" s="457" t="s">
        <v>1131</v>
      </c>
      <c r="C30" s="461" t="s">
        <v>15616</v>
      </c>
      <c r="D30" s="464"/>
      <c r="E30" s="457" t="s">
        <v>1100</v>
      </c>
      <c r="F30" s="457" t="s">
        <v>15617</v>
      </c>
      <c r="G30" s="457" t="s">
        <v>13459</v>
      </c>
      <c r="H30" s="458">
        <v>0</v>
      </c>
      <c r="I30" s="459" t="s">
        <v>1787</v>
      </c>
      <c r="J30" s="459" t="s">
        <v>13842</v>
      </c>
      <c r="K30" s="462"/>
      <c r="L30" s="462"/>
      <c r="M30" s="462"/>
      <c r="N30" s="462"/>
      <c r="O30" s="462"/>
      <c r="P30" s="460"/>
      <c r="Q30" s="463"/>
      <c r="R30" s="215" t="str">
        <f ca="1">IF(ISERROR($V30),"",OFFSET('Smelter Look-up'!$C$4,$V30-4,0)&amp;"")</f>
        <v/>
      </c>
      <c r="S30" s="222" t="str">
        <f t="shared" ca="1" si="3"/>
        <v>CN</v>
      </c>
      <c r="T30" s="222" t="str">
        <f ca="1">IF(B30="","",IF(ISERROR(MATCH($J30,SorP!$B$1:$B$6230,0)),"",INDIRECT("'SorP'!$A$"&amp;MATCH($J30,SorP!$B$1:$B$6230,0))))</f>
        <v>CN-JX</v>
      </c>
      <c r="U30" s="238"/>
      <c r="V30" s="270" t="e">
        <f>IF(C30="",NA(),MATCH($B30&amp;$C30,'Smelter Look-up'!$J:$J,0))</f>
        <v>#N/A</v>
      </c>
      <c r="W30" s="271"/>
      <c r="X30" s="271">
        <f t="shared" si="4"/>
        <v>0</v>
      </c>
      <c r="Y30" s="271"/>
      <c r="Z30" s="271"/>
      <c r="AB30" s="273" t="str">
        <f t="shared" si="5"/>
        <v>TinHuichang Jinshunda Tin Co., Ltd.</v>
      </c>
    </row>
    <row r="31" spans="1:28" s="272" customFormat="1" ht="25.5">
      <c r="A31" s="456"/>
      <c r="B31" s="457" t="s">
        <v>1131</v>
      </c>
      <c r="C31" s="461" t="s">
        <v>14021</v>
      </c>
      <c r="D31" s="464"/>
      <c r="E31" s="457" t="s">
        <v>1100</v>
      </c>
      <c r="F31" s="457" t="s">
        <v>14022</v>
      </c>
      <c r="G31" s="457" t="s">
        <v>13459</v>
      </c>
      <c r="H31" s="458">
        <v>0</v>
      </c>
      <c r="I31" s="459" t="s">
        <v>14057</v>
      </c>
      <c r="J31" s="459" t="s">
        <v>13847</v>
      </c>
      <c r="K31" s="462"/>
      <c r="L31" s="462"/>
      <c r="M31" s="462"/>
      <c r="N31" s="462"/>
      <c r="O31" s="462"/>
      <c r="P31" s="460"/>
      <c r="Q31" s="463"/>
      <c r="R31" s="215" t="str">
        <f ca="1">IF(ISERROR($V31),"",OFFSET('Smelter Look-up'!$C$4,$V31-4,0)&amp;"")</f>
        <v>Dongguan CiEXPO Environmental Engineering Co., Ltd.</v>
      </c>
      <c r="S31" s="222" t="str">
        <f t="shared" ca="1" si="3"/>
        <v>CN</v>
      </c>
      <c r="T31" s="222" t="str">
        <f ca="1">IF(B31="","",IF(ISERROR(MATCH($J31,SorP!$B$1:$B$6230,0)),"",INDIRECT("'SorP'!$A$"&amp;MATCH($J31,SorP!$B$1:$B$6230,0))))</f>
        <v>CN-GD</v>
      </c>
      <c r="U31" s="238"/>
      <c r="V31" s="270">
        <f>IF(C31="",NA(),MATCH($B31&amp;$C31,'Smelter Look-up'!$J:$J,0))</f>
        <v>408</v>
      </c>
      <c r="W31" s="271"/>
      <c r="X31" s="271">
        <f t="shared" si="4"/>
        <v>0</v>
      </c>
      <c r="Y31" s="271"/>
      <c r="Z31" s="271"/>
      <c r="AB31" s="273" t="str">
        <f t="shared" si="5"/>
        <v>TinDongguan CiEXPO Environmental Engineering Co., Ltd.</v>
      </c>
    </row>
    <row r="32" spans="1:28" s="272" customFormat="1" ht="20.25">
      <c r="A32" s="456"/>
      <c r="B32" s="457" t="s">
        <v>1131</v>
      </c>
      <c r="C32" s="461" t="s">
        <v>2160</v>
      </c>
      <c r="D32" s="464"/>
      <c r="E32" s="457" t="s">
        <v>1100</v>
      </c>
      <c r="F32" s="457" t="s">
        <v>770</v>
      </c>
      <c r="G32" s="457" t="s">
        <v>13459</v>
      </c>
      <c r="H32" s="458">
        <v>0</v>
      </c>
      <c r="I32" s="459" t="s">
        <v>2477</v>
      </c>
      <c r="J32" s="459" t="s">
        <v>13851</v>
      </c>
      <c r="K32" s="462"/>
      <c r="L32" s="462"/>
      <c r="M32" s="462"/>
      <c r="N32" s="462"/>
      <c r="O32" s="462"/>
      <c r="P32" s="460"/>
      <c r="Q32" s="463"/>
      <c r="R32" s="215" t="str">
        <f ca="1">IF(ISERROR($V32),"",OFFSET('Smelter Look-up'!$C$4,$V32-4,0)&amp;"")</f>
        <v>Gejiu Non-Ferrous Metal Processing Co., Ltd.</v>
      </c>
      <c r="S32" s="222" t="str">
        <f t="shared" ca="1" si="3"/>
        <v>CN</v>
      </c>
      <c r="T32" s="222" t="str">
        <f ca="1">IF(B32="","",IF(ISERROR(MATCH($J32,SorP!$B$1:$B$6230,0)),"",INDIRECT("'SorP'!$A$"&amp;MATCH($J32,SorP!$B$1:$B$6230,0))))</f>
        <v>CN-YN</v>
      </c>
      <c r="U32" s="238"/>
      <c r="V32" s="270">
        <f>IF(C32="",NA(),MATCH($B32&amp;$C32,'Smelter Look-up'!$J:$J,0))</f>
        <v>428</v>
      </c>
      <c r="W32" s="271"/>
      <c r="X32" s="271">
        <f t="shared" si="4"/>
        <v>0</v>
      </c>
      <c r="Y32" s="271"/>
      <c r="Z32" s="271"/>
      <c r="AB32" s="273" t="str">
        <f t="shared" si="5"/>
        <v>TinGejiu Non-Ferrous Metal Processing Co., Ltd.</v>
      </c>
    </row>
    <row r="33" spans="1:28" s="272" customFormat="1" ht="20.25">
      <c r="A33" s="456"/>
      <c r="B33" s="457" t="s">
        <v>1131</v>
      </c>
      <c r="C33" s="461" t="s">
        <v>1813</v>
      </c>
      <c r="D33" s="464"/>
      <c r="E33" s="457" t="s">
        <v>1100</v>
      </c>
      <c r="F33" s="457" t="s">
        <v>1814</v>
      </c>
      <c r="G33" s="457" t="s">
        <v>13459</v>
      </c>
      <c r="H33" s="458">
        <v>0</v>
      </c>
      <c r="I33" s="459" t="s">
        <v>2477</v>
      </c>
      <c r="J33" s="459" t="s">
        <v>13851</v>
      </c>
      <c r="K33" s="462"/>
      <c r="L33" s="462"/>
      <c r="M33" s="462"/>
      <c r="N33" s="462"/>
      <c r="O33" s="462"/>
      <c r="P33" s="460"/>
      <c r="Q33" s="463"/>
      <c r="R33" s="215" t="str">
        <f ca="1">IF(ISERROR($V33),"",OFFSET('Smelter Look-up'!$C$4,$V33-4,0)&amp;"")</f>
        <v>Gejiu Yunxin Nonferrous Electrolysis Co., Ltd.</v>
      </c>
      <c r="S33" s="222" t="str">
        <f t="shared" ca="1" si="3"/>
        <v>CN</v>
      </c>
      <c r="T33" s="222" t="str">
        <f ca="1">IF(B33="","",IF(ISERROR(MATCH($J33,SorP!$B$1:$B$6230,0)),"",INDIRECT("'SorP'!$A$"&amp;MATCH($J33,SorP!$B$1:$B$6230,0))))</f>
        <v>CN-YN</v>
      </c>
      <c r="U33" s="238"/>
      <c r="V33" s="270">
        <f>IF(C33="",NA(),MATCH($B33&amp;$C33,'Smelter Look-up'!$J:$J,0))</f>
        <v>429</v>
      </c>
      <c r="W33" s="271"/>
      <c r="X33" s="271">
        <f t="shared" si="4"/>
        <v>0</v>
      </c>
      <c r="Y33" s="271"/>
      <c r="Z33" s="271"/>
      <c r="AB33" s="273" t="str">
        <f t="shared" si="5"/>
        <v>TinGejiu Yunxin Nonferrous Electrolysis Co., Ltd.</v>
      </c>
    </row>
    <row r="34" spans="1:28" s="272" customFormat="1" ht="25.5">
      <c r="A34" s="456"/>
      <c r="B34" s="457" t="s">
        <v>1131</v>
      </c>
      <c r="C34" s="461" t="s">
        <v>49</v>
      </c>
      <c r="D34" s="464"/>
      <c r="E34" s="457" t="s">
        <v>2463</v>
      </c>
      <c r="F34" s="457" t="s">
        <v>766</v>
      </c>
      <c r="G34" s="457" t="s">
        <v>13459</v>
      </c>
      <c r="H34" s="458">
        <v>0</v>
      </c>
      <c r="I34" s="459" t="s">
        <v>1773</v>
      </c>
      <c r="J34" s="459" t="s">
        <v>1749</v>
      </c>
      <c r="K34" s="462"/>
      <c r="L34" s="462"/>
      <c r="M34" s="462"/>
      <c r="N34" s="462"/>
      <c r="O34" s="462"/>
      <c r="P34" s="460"/>
      <c r="Q34" s="463"/>
      <c r="R34" s="215" t="str">
        <f ca="1">IF(ISERROR($V34),"",OFFSET('Smelter Look-up'!$C$4,$V34-4,0)&amp;"")</f>
        <v>Alpha</v>
      </c>
      <c r="S34" s="222" t="str">
        <f t="shared" ca="1" si="3"/>
        <v>US</v>
      </c>
      <c r="T34" s="222" t="str">
        <f ca="1">IF(B34="","",IF(ISERROR(MATCH($J34,SorP!$B$1:$B$6230,0)),"",INDIRECT("'SorP'!$A$"&amp;MATCH($J34,SorP!$B$1:$B$6230,0))))</f>
        <v>US-PA</v>
      </c>
      <c r="U34" s="238"/>
      <c r="V34" s="270">
        <f>IF(C34="",NA(),MATCH($B34&amp;$C34,'Smelter Look-up'!$J:$J,0))</f>
        <v>384</v>
      </c>
      <c r="W34" s="271"/>
      <c r="X34" s="271">
        <f t="shared" si="4"/>
        <v>0</v>
      </c>
      <c r="Y34" s="271"/>
      <c r="Z34" s="271"/>
      <c r="AB34" s="273" t="str">
        <f t="shared" si="5"/>
        <v>TinAlpha</v>
      </c>
    </row>
    <row r="35" spans="1:28" s="272" customFormat="1" ht="25.5">
      <c r="A35" s="456"/>
      <c r="B35" s="457" t="s">
        <v>1131</v>
      </c>
      <c r="C35" s="461" t="s">
        <v>2363</v>
      </c>
      <c r="D35" s="464"/>
      <c r="E35" s="457" t="s">
        <v>1100</v>
      </c>
      <c r="F35" s="457" t="s">
        <v>2303</v>
      </c>
      <c r="G35" s="457" t="s">
        <v>13459</v>
      </c>
      <c r="H35" s="458">
        <v>0</v>
      </c>
      <c r="I35" s="459" t="s">
        <v>1788</v>
      </c>
      <c r="J35" s="459" t="s">
        <v>13846</v>
      </c>
      <c r="K35" s="462"/>
      <c r="L35" s="462"/>
      <c r="M35" s="462"/>
      <c r="N35" s="462"/>
      <c r="O35" s="462"/>
      <c r="P35" s="460"/>
      <c r="Q35" s="463"/>
      <c r="R35" s="215" t="str">
        <f ca="1">IF(ISERROR($V35),"",OFFSET('Smelter Look-up'!$C$4,$V35-4,0)&amp;"")</f>
        <v>Chenzhou Yunxiang Mining and Metallurgy Co., Ltd.</v>
      </c>
      <c r="S35" s="222" t="str">
        <f t="shared" ca="1" si="3"/>
        <v>CN</v>
      </c>
      <c r="T35" s="222" t="str">
        <f ca="1">IF(B35="","",IF(ISERROR(MATCH($J35,SorP!$B$1:$B$6230,0)),"",INDIRECT("'SorP'!$A$"&amp;MATCH($J35,SorP!$B$1:$B$6230,0))))</f>
        <v>CN-HN</v>
      </c>
      <c r="U35" s="238"/>
      <c r="V35" s="270">
        <f>IF(C35="",NA(),MATCH($B35&amp;$C35,'Smelter Look-up'!$J:$J,0))</f>
        <v>392</v>
      </c>
      <c r="W35" s="271"/>
      <c r="X35" s="271">
        <f t="shared" si="4"/>
        <v>0</v>
      </c>
      <c r="Y35" s="271"/>
      <c r="Z35" s="271"/>
      <c r="AB35" s="273" t="str">
        <f t="shared" si="5"/>
        <v>TinChenzhou Yunxiang Mining and Metallurgy Co., Ltd.</v>
      </c>
    </row>
    <row r="36" spans="1:28" s="272" customFormat="1" ht="20.25">
      <c r="A36" s="456"/>
      <c r="B36" s="457" t="s">
        <v>1131</v>
      </c>
      <c r="C36" s="461" t="s">
        <v>906</v>
      </c>
      <c r="D36" s="464"/>
      <c r="E36" s="457" t="s">
        <v>1108</v>
      </c>
      <c r="F36" s="457" t="s">
        <v>1410</v>
      </c>
      <c r="G36" s="457" t="s">
        <v>13459</v>
      </c>
      <c r="H36" s="458">
        <v>0</v>
      </c>
      <c r="I36" s="459" t="s">
        <v>1581</v>
      </c>
      <c r="J36" s="459" t="s">
        <v>1582</v>
      </c>
      <c r="K36" s="462"/>
      <c r="L36" s="462"/>
      <c r="M36" s="462"/>
      <c r="N36" s="462"/>
      <c r="O36" s="462"/>
      <c r="P36" s="460"/>
      <c r="Q36" s="463"/>
      <c r="R36" s="215" t="str">
        <f ca="1">IF(ISERROR($V36),"",OFFSET('Smelter Look-up'!$C$4,$V36-4,0)&amp;"")</f>
        <v>Dowa</v>
      </c>
      <c r="S36" s="222" t="str">
        <f t="shared" ca="1" si="3"/>
        <v>JP</v>
      </c>
      <c r="T36" s="222" t="str">
        <f ca="1">IF(B36="","",IF(ISERROR(MATCH($J36,SorP!$B$1:$B$6230,0)),"",INDIRECT("'SorP'!$A$"&amp;MATCH($J36,SorP!$B$1:$B$6230,0))))</f>
        <v>JP-05</v>
      </c>
      <c r="U36" s="238"/>
      <c r="V36" s="270">
        <f>IF(C36="",NA(),MATCH($B36&amp;$C36,'Smelter Look-up'!$J:$J,0))</f>
        <v>409</v>
      </c>
      <c r="W36" s="271"/>
      <c r="X36" s="271">
        <f t="shared" si="4"/>
        <v>0</v>
      </c>
      <c r="Y36" s="271"/>
      <c r="Z36" s="271"/>
      <c r="AB36" s="273" t="str">
        <f t="shared" si="5"/>
        <v>TinDowa</v>
      </c>
    </row>
    <row r="37" spans="1:28" s="272" customFormat="1" ht="20.25">
      <c r="A37" s="456"/>
      <c r="B37" s="457" t="s">
        <v>1131</v>
      </c>
      <c r="C37" s="461" t="s">
        <v>13400</v>
      </c>
      <c r="D37" s="464"/>
      <c r="E37" s="457" t="s">
        <v>1100</v>
      </c>
      <c r="F37" s="457" t="s">
        <v>1802</v>
      </c>
      <c r="G37" s="457" t="s">
        <v>13459</v>
      </c>
      <c r="H37" s="458">
        <v>0</v>
      </c>
      <c r="I37" s="459" t="s">
        <v>1787</v>
      </c>
      <c r="J37" s="459" t="s">
        <v>13842</v>
      </c>
      <c r="K37" s="462"/>
      <c r="L37" s="462"/>
      <c r="M37" s="462"/>
      <c r="N37" s="462"/>
      <c r="O37" s="462"/>
      <c r="P37" s="460"/>
      <c r="Q37" s="463"/>
      <c r="R37" s="215" t="str">
        <f ca="1">IF(ISERROR($V37),"",OFFSET('Smelter Look-up'!$C$4,$V37-4,0)&amp;"")</f>
        <v>Jiangxi New Nanshan Technology Ltd.</v>
      </c>
      <c r="S37" s="222" t="str">
        <f t="shared" ca="1" si="3"/>
        <v>CN</v>
      </c>
      <c r="T37" s="222" t="str">
        <f ca="1">IF(B37="","",IF(ISERROR(MATCH($J37,SorP!$B$1:$B$6230,0)),"",INDIRECT("'SorP'!$A$"&amp;MATCH($J37,SorP!$B$1:$B$6230,0))))</f>
        <v>CN-JX</v>
      </c>
      <c r="U37" s="238"/>
      <c r="V37" s="270">
        <f>IF(C37="",NA(),MATCH($B37&amp;$C37,'Smelter Look-up'!$J:$J,0))</f>
        <v>440</v>
      </c>
      <c r="W37" s="271"/>
      <c r="X37" s="271">
        <f t="shared" si="4"/>
        <v>0</v>
      </c>
      <c r="Y37" s="271"/>
      <c r="Z37" s="271"/>
      <c r="AB37" s="273" t="str">
        <f t="shared" si="5"/>
        <v>TinJiangxi New Nanshan Technology Ltd.</v>
      </c>
    </row>
    <row r="38" spans="1:28" s="272" customFormat="1" ht="20.25">
      <c r="A38" s="456"/>
      <c r="B38" s="457" t="s">
        <v>1131</v>
      </c>
      <c r="C38" s="461" t="s">
        <v>2184</v>
      </c>
      <c r="D38" s="464"/>
      <c r="E38" s="457" t="s">
        <v>1096</v>
      </c>
      <c r="F38" s="457" t="s">
        <v>139</v>
      </c>
      <c r="G38" s="457" t="s">
        <v>13459</v>
      </c>
      <c r="H38" s="458">
        <v>0</v>
      </c>
      <c r="I38" s="459" t="s">
        <v>1732</v>
      </c>
      <c r="J38" s="459" t="s">
        <v>1554</v>
      </c>
      <c r="K38" s="462"/>
      <c r="L38" s="462"/>
      <c r="M38" s="462"/>
      <c r="N38" s="462"/>
      <c r="O38" s="462"/>
      <c r="P38" s="460"/>
      <c r="Q38" s="463"/>
      <c r="R38" s="215" t="str">
        <f ca="1">IF(ISERROR($V38),"",OFFSET('Smelter Look-up'!$C$4,$V38-4,0)&amp;"")</f>
        <v>Magnu's Minerais Metais e Ligas Ltda.</v>
      </c>
      <c r="S38" s="222" t="str">
        <f t="shared" ref="S38:S68" ca="1" si="6">IF(B38="","",IF(ISERROR(MATCH($E38,CL,0)),"Unknown",INDIRECT("'C'!$A$"&amp;MATCH($E38,CL,0)+1)))</f>
        <v>BR</v>
      </c>
      <c r="T38" s="222" t="str">
        <f ca="1">IF(B38="","",IF(ISERROR(MATCH($J38,SorP!$B$1:$B$6230,0)),"",INDIRECT("'SorP'!$A$"&amp;MATCH($J38,SorP!$B$1:$B$6230,0))))</f>
        <v>BR-MG</v>
      </c>
      <c r="U38" s="238"/>
      <c r="V38" s="270">
        <f>IF(C38="",NA(),MATCH($B38&amp;$C38,'Smelter Look-up'!$J:$J,0))</f>
        <v>448</v>
      </c>
      <c r="W38" s="271"/>
      <c r="X38" s="271">
        <f t="shared" ref="X38:X68" si="7">IF(AND(C38="Smelter not listed",OR(LEN(D38)=0,LEN(E38)=0)),1,0)</f>
        <v>0</v>
      </c>
      <c r="Y38" s="271"/>
      <c r="Z38" s="271"/>
      <c r="AB38" s="273" t="str">
        <f t="shared" ref="AB38:AB68" si="8">B38&amp;C38</f>
        <v>TinMagnu's Minerais Metais e Ligas Ltda.</v>
      </c>
    </row>
    <row r="39" spans="1:28" s="272" customFormat="1" ht="25.5">
      <c r="A39" s="456"/>
      <c r="B39" s="457" t="s">
        <v>1130</v>
      </c>
      <c r="C39" s="461" t="s">
        <v>1384</v>
      </c>
      <c r="D39" s="464"/>
      <c r="E39" s="457" t="s">
        <v>2463</v>
      </c>
      <c r="F39" s="457" t="s">
        <v>1385</v>
      </c>
      <c r="G39" s="457" t="s">
        <v>13459</v>
      </c>
      <c r="H39" s="458">
        <v>0</v>
      </c>
      <c r="I39" s="459" t="s">
        <v>1545</v>
      </c>
      <c r="J39" s="459" t="s">
        <v>1546</v>
      </c>
      <c r="K39" s="462"/>
      <c r="L39" s="462"/>
      <c r="M39" s="462"/>
      <c r="N39" s="462"/>
      <c r="O39" s="462"/>
      <c r="P39" s="460"/>
      <c r="Q39" s="463"/>
      <c r="R39" s="215" t="str">
        <f ca="1">IF(ISERROR($V39),"",OFFSET('Smelter Look-up'!$C$4,$V39-4,0)&amp;"")</f>
        <v>Advanced Chemical Company</v>
      </c>
      <c r="S39" s="222" t="str">
        <f t="shared" ca="1" si="6"/>
        <v>US</v>
      </c>
      <c r="T39" s="222" t="str">
        <f ca="1">IF(B39="","",IF(ISERROR(MATCH($J39,SorP!$B$1:$B$6230,0)),"",INDIRECT("'SorP'!$A$"&amp;MATCH($J39,SorP!$B$1:$B$6230,0))))</f>
        <v>US-RI</v>
      </c>
      <c r="U39" s="238"/>
      <c r="V39" s="270">
        <f>IF(C39="",NA(),MATCH($B39&amp;$C39,'Smelter Look-up'!$J:$J,0))</f>
        <v>7</v>
      </c>
      <c r="W39" s="271"/>
      <c r="X39" s="271">
        <f t="shared" si="7"/>
        <v>0</v>
      </c>
      <c r="Y39" s="271"/>
      <c r="Z39" s="271"/>
      <c r="AB39" s="273" t="str">
        <f t="shared" si="8"/>
        <v>GoldAdvanced Chemical Company</v>
      </c>
    </row>
    <row r="40" spans="1:28" s="272" customFormat="1" ht="20.25">
      <c r="A40" s="456"/>
      <c r="B40" s="457" t="s">
        <v>1130</v>
      </c>
      <c r="C40" s="461" t="s">
        <v>2156</v>
      </c>
      <c r="D40" s="464"/>
      <c r="E40" s="457" t="s">
        <v>1108</v>
      </c>
      <c r="F40" s="457" t="s">
        <v>650</v>
      </c>
      <c r="G40" s="457" t="s">
        <v>13459</v>
      </c>
      <c r="H40" s="458">
        <v>0</v>
      </c>
      <c r="I40" s="459" t="s">
        <v>1547</v>
      </c>
      <c r="J40" s="459" t="s">
        <v>1548</v>
      </c>
      <c r="K40" s="462"/>
      <c r="L40" s="462"/>
      <c r="M40" s="462"/>
      <c r="N40" s="462"/>
      <c r="O40" s="462"/>
      <c r="P40" s="460"/>
      <c r="Q40" s="463"/>
      <c r="R40" s="215" t="str">
        <f ca="1">IF(ISERROR($V40),"",OFFSET('Smelter Look-up'!$C$4,$V40-4,0)&amp;"")</f>
        <v>Aida Chemical Industries Co., Ltd.</v>
      </c>
      <c r="S40" s="222" t="str">
        <f t="shared" ca="1" si="6"/>
        <v>JP</v>
      </c>
      <c r="T40" s="222" t="str">
        <f ca="1">IF(B40="","",IF(ISERROR(MATCH($J40,SorP!$B$1:$B$6230,0)),"",INDIRECT("'SorP'!$A$"&amp;MATCH($J40,SorP!$B$1:$B$6230,0))))</f>
        <v>JP-13</v>
      </c>
      <c r="U40" s="238"/>
      <c r="V40" s="270">
        <f>IF(C40="",NA(),MATCH($B40&amp;$C40,'Smelter Look-up'!$J:$J,0))</f>
        <v>11</v>
      </c>
      <c r="W40" s="271"/>
      <c r="X40" s="271">
        <f t="shared" si="7"/>
        <v>0</v>
      </c>
      <c r="Y40" s="271"/>
      <c r="Z40" s="271"/>
      <c r="AB40" s="273" t="str">
        <f t="shared" si="8"/>
        <v>GoldAida Chemical Industries Co., Ltd.</v>
      </c>
    </row>
    <row r="41" spans="1:28" s="272" customFormat="1" ht="20.25">
      <c r="A41" s="456"/>
      <c r="B41" s="457" t="s">
        <v>1130</v>
      </c>
      <c r="C41" s="461" t="s">
        <v>52</v>
      </c>
      <c r="D41" s="464"/>
      <c r="E41" s="457" t="s">
        <v>1101</v>
      </c>
      <c r="F41" s="457" t="s">
        <v>651</v>
      </c>
      <c r="G41" s="457" t="s">
        <v>13459</v>
      </c>
      <c r="H41" s="458">
        <v>0</v>
      </c>
      <c r="I41" s="459" t="s">
        <v>1549</v>
      </c>
      <c r="J41" s="459" t="s">
        <v>1550</v>
      </c>
      <c r="K41" s="462"/>
      <c r="L41" s="462"/>
      <c r="M41" s="462"/>
      <c r="N41" s="462"/>
      <c r="O41" s="462"/>
      <c r="P41" s="460"/>
      <c r="Q41" s="463"/>
      <c r="R41" s="215" t="str">
        <f ca="1">IF(ISERROR($V41),"",OFFSET('Smelter Look-up'!$C$4,$V41-4,0)&amp;"")</f>
        <v>Allgemeine Gold-und Silberscheideanstalt A.G.</v>
      </c>
      <c r="S41" s="222" t="str">
        <f t="shared" ca="1" si="6"/>
        <v>DE</v>
      </c>
      <c r="T41" s="222" t="str">
        <f ca="1">IF(B41="","",IF(ISERROR(MATCH($J41,SorP!$B$1:$B$6230,0)),"",INDIRECT("'SorP'!$A$"&amp;MATCH($J41,SorP!$B$1:$B$6230,0))))</f>
        <v>DE-BW</v>
      </c>
      <c r="U41" s="238"/>
      <c r="V41" s="270">
        <f>IF(C41="",NA(),MATCH($B41&amp;$C41,'Smelter Look-up'!$J:$J,0))</f>
        <v>16</v>
      </c>
      <c r="W41" s="271"/>
      <c r="X41" s="271">
        <f t="shared" si="7"/>
        <v>0</v>
      </c>
      <c r="Y41" s="271"/>
      <c r="Z41" s="271"/>
      <c r="AB41" s="273" t="str">
        <f t="shared" si="8"/>
        <v>GoldAllgemeine Gold-und Silberscheideanstalt A.G.</v>
      </c>
    </row>
    <row r="42" spans="1:28" s="272" customFormat="1" ht="20.25">
      <c r="A42" s="456"/>
      <c r="B42" s="457" t="s">
        <v>1130</v>
      </c>
      <c r="C42" s="461" t="s">
        <v>12640</v>
      </c>
      <c r="D42" s="464"/>
      <c r="E42" s="457" t="s">
        <v>1096</v>
      </c>
      <c r="F42" s="457" t="s">
        <v>653</v>
      </c>
      <c r="G42" s="457" t="s">
        <v>13459</v>
      </c>
      <c r="H42" s="458">
        <v>0</v>
      </c>
      <c r="I42" s="459" t="s">
        <v>1553</v>
      </c>
      <c r="J42" s="459" t="s">
        <v>1554</v>
      </c>
      <c r="K42" s="462"/>
      <c r="L42" s="462"/>
      <c r="M42" s="462"/>
      <c r="N42" s="462"/>
      <c r="O42" s="462"/>
      <c r="P42" s="460"/>
      <c r="Q42" s="463"/>
      <c r="R42" s="215" t="str">
        <f ca="1">IF(ISERROR($V42),"",OFFSET('Smelter Look-up'!$C$4,$V42-4,0)&amp;"")</f>
        <v>AngloGold Ashanti Corrego do Sitio Mineracao</v>
      </c>
      <c r="S42" s="222" t="str">
        <f t="shared" ca="1" si="6"/>
        <v>BR</v>
      </c>
      <c r="T42" s="222" t="str">
        <f ca="1">IF(B42="","",IF(ISERROR(MATCH($J42,SorP!$B$1:$B$6230,0)),"",INDIRECT("'SorP'!$A$"&amp;MATCH($J42,SorP!$B$1:$B$6230,0))))</f>
        <v>BR-MG</v>
      </c>
      <c r="U42" s="238"/>
      <c r="V42" s="270">
        <f>IF(C42="",NA(),MATCH($B42&amp;$C42,'Smelter Look-up'!$J:$J,0))</f>
        <v>20</v>
      </c>
      <c r="W42" s="271"/>
      <c r="X42" s="271">
        <f t="shared" si="7"/>
        <v>0</v>
      </c>
      <c r="Y42" s="271"/>
      <c r="Z42" s="271"/>
      <c r="AB42" s="273" t="str">
        <f t="shared" si="8"/>
        <v>GoldAngloGold Ashanti Corrego do Sitio Mineracao</v>
      </c>
    </row>
    <row r="43" spans="1:28" s="272" customFormat="1" ht="20.25">
      <c r="A43" s="456"/>
      <c r="B43" s="457" t="s">
        <v>1130</v>
      </c>
      <c r="C43" s="461" t="s">
        <v>1224</v>
      </c>
      <c r="D43" s="464"/>
      <c r="E43" s="457" t="s">
        <v>1101</v>
      </c>
      <c r="F43" s="457" t="s">
        <v>658</v>
      </c>
      <c r="G43" s="457" t="s">
        <v>13459</v>
      </c>
      <c r="H43" s="458">
        <v>0</v>
      </c>
      <c r="I43" s="459" t="s">
        <v>1563</v>
      </c>
      <c r="J43" s="459" t="s">
        <v>1563</v>
      </c>
      <c r="K43" s="462"/>
      <c r="L43" s="462"/>
      <c r="M43" s="462"/>
      <c r="N43" s="462"/>
      <c r="O43" s="462"/>
      <c r="P43" s="460"/>
      <c r="Q43" s="463"/>
      <c r="R43" s="215" t="str">
        <f ca="1">IF(ISERROR($V43),"",OFFSET('Smelter Look-up'!$C$4,$V43-4,0)&amp;"")</f>
        <v>Aurubis AG</v>
      </c>
      <c r="S43" s="222" t="str">
        <f t="shared" ca="1" si="6"/>
        <v>DE</v>
      </c>
      <c r="T43" s="222" t="str">
        <f ca="1">IF(B43="","",IF(ISERROR(MATCH($J43,SorP!$B$1:$B$6230,0)),"",INDIRECT("'SorP'!$A$"&amp;MATCH($J43,SorP!$B$1:$B$6230,0))))</f>
        <v>DE-HH</v>
      </c>
      <c r="U43" s="238"/>
      <c r="V43" s="270">
        <f>IF(C43="",NA(),MATCH($B43&amp;$C43,'Smelter Look-up'!$J:$J,0))</f>
        <v>34</v>
      </c>
      <c r="W43" s="271"/>
      <c r="X43" s="271">
        <f t="shared" si="7"/>
        <v>0</v>
      </c>
      <c r="Y43" s="271"/>
      <c r="Z43" s="271"/>
      <c r="AB43" s="273" t="str">
        <f t="shared" si="8"/>
        <v>GoldAurubis AG</v>
      </c>
    </row>
    <row r="44" spans="1:28" s="272" customFormat="1" ht="25.5">
      <c r="A44" s="456"/>
      <c r="B44" s="457" t="s">
        <v>1130</v>
      </c>
      <c r="C44" s="461" t="s">
        <v>1226</v>
      </c>
      <c r="D44" s="464"/>
      <c r="E44" s="457" t="s">
        <v>887</v>
      </c>
      <c r="F44" s="457" t="s">
        <v>660</v>
      </c>
      <c r="G44" s="457" t="s">
        <v>13459</v>
      </c>
      <c r="H44" s="458">
        <v>0</v>
      </c>
      <c r="I44" s="459" t="s">
        <v>1565</v>
      </c>
      <c r="J44" s="459" t="s">
        <v>10485</v>
      </c>
      <c r="K44" s="462"/>
      <c r="L44" s="462"/>
      <c r="M44" s="462"/>
      <c r="N44" s="462"/>
      <c r="O44" s="462"/>
      <c r="P44" s="460"/>
      <c r="Q44" s="463"/>
      <c r="R44" s="215" t="str">
        <f ca="1">IF(ISERROR($V44),"",OFFSET('Smelter Look-up'!$C$4,$V44-4,0)&amp;"")</f>
        <v>Boliden AB</v>
      </c>
      <c r="S44" s="222" t="str">
        <f t="shared" ca="1" si="6"/>
        <v>SE</v>
      </c>
      <c r="T44" s="222" t="str">
        <f ca="1">IF(B44="","",IF(ISERROR(MATCH($J44,SorP!$B$1:$B$6230,0)),"",INDIRECT("'SorP'!$A$"&amp;MATCH($J44,SorP!$B$1:$B$6230,0))))</f>
        <v>SE-AC</v>
      </c>
      <c r="U44" s="238"/>
      <c r="V44" s="270">
        <f>IF(C44="",NA(),MATCH($B44&amp;$C44,'Smelter Look-up'!$J:$J,0))</f>
        <v>39</v>
      </c>
      <c r="W44" s="271"/>
      <c r="X44" s="271">
        <f t="shared" si="7"/>
        <v>0</v>
      </c>
      <c r="Y44" s="271"/>
      <c r="Z44" s="271"/>
      <c r="AB44" s="273" t="str">
        <f t="shared" si="8"/>
        <v>GoldBoliden AB</v>
      </c>
    </row>
    <row r="45" spans="1:28" s="272" customFormat="1" ht="20.25">
      <c r="A45" s="456"/>
      <c r="B45" s="457" t="s">
        <v>1130</v>
      </c>
      <c r="C45" s="461" t="s">
        <v>661</v>
      </c>
      <c r="D45" s="464"/>
      <c r="E45" s="457" t="s">
        <v>1101</v>
      </c>
      <c r="F45" s="457" t="s">
        <v>662</v>
      </c>
      <c r="G45" s="457" t="s">
        <v>13459</v>
      </c>
      <c r="H45" s="458">
        <v>0</v>
      </c>
      <c r="I45" s="459" t="s">
        <v>1549</v>
      </c>
      <c r="J45" s="459" t="s">
        <v>1550</v>
      </c>
      <c r="K45" s="462"/>
      <c r="L45" s="462"/>
      <c r="M45" s="462"/>
      <c r="N45" s="462"/>
      <c r="O45" s="462"/>
      <c r="P45" s="460"/>
      <c r="Q45" s="463"/>
      <c r="R45" s="215" t="str">
        <f ca="1">IF(ISERROR($V45),"",OFFSET('Smelter Look-up'!$C$4,$V45-4,0)&amp;"")</f>
        <v>C. Hafner GmbH + Co. KG</v>
      </c>
      <c r="S45" s="222" t="str">
        <f t="shared" ca="1" si="6"/>
        <v>DE</v>
      </c>
      <c r="T45" s="222" t="str">
        <f ca="1">IF(B45="","",IF(ISERROR(MATCH($J45,SorP!$B$1:$B$6230,0)),"",INDIRECT("'SorP'!$A$"&amp;MATCH($J45,SorP!$B$1:$B$6230,0))))</f>
        <v>DE-BW</v>
      </c>
      <c r="U45" s="238"/>
      <c r="V45" s="270">
        <f>IF(C45="",NA(),MATCH($B45&amp;$C45,'Smelter Look-up'!$J:$J,0))</f>
        <v>40</v>
      </c>
      <c r="W45" s="271"/>
      <c r="X45" s="271">
        <f t="shared" si="7"/>
        <v>0</v>
      </c>
      <c r="Y45" s="271"/>
      <c r="Z45" s="271"/>
      <c r="AB45" s="273" t="str">
        <f t="shared" si="8"/>
        <v>GoldC. Hafner GmbH + Co. KG</v>
      </c>
    </row>
    <row r="46" spans="1:28" s="272" customFormat="1" ht="20.25">
      <c r="A46" s="456"/>
      <c r="B46" s="457" t="s">
        <v>1130</v>
      </c>
      <c r="C46" s="461" t="s">
        <v>2259</v>
      </c>
      <c r="D46" s="464"/>
      <c r="E46" s="457" t="s">
        <v>1097</v>
      </c>
      <c r="F46" s="457" t="s">
        <v>664</v>
      </c>
      <c r="G46" s="457" t="s">
        <v>13459</v>
      </c>
      <c r="H46" s="458">
        <v>0</v>
      </c>
      <c r="I46" s="459" t="s">
        <v>1568</v>
      </c>
      <c r="J46" s="459" t="s">
        <v>1569</v>
      </c>
      <c r="K46" s="462"/>
      <c r="L46" s="462"/>
      <c r="M46" s="462"/>
      <c r="N46" s="462"/>
      <c r="O46" s="462"/>
      <c r="P46" s="460"/>
      <c r="Q46" s="463"/>
      <c r="R46" s="215" t="str">
        <f ca="1">IF(ISERROR($V46),"",OFFSET('Smelter Look-up'!$C$4,$V46-4,0)&amp;"")</f>
        <v>CCR Refinery - Glencore Canada Corporation</v>
      </c>
      <c r="S46" s="222" t="str">
        <f t="shared" ca="1" si="6"/>
        <v>CA</v>
      </c>
      <c r="T46" s="222" t="str">
        <f ca="1">IF(B46="","",IF(ISERROR(MATCH($J46,SorP!$B$1:$B$6230,0)),"",INDIRECT("'SorP'!$A$"&amp;MATCH($J46,SorP!$B$1:$B$6230,0))))</f>
        <v>CA-QC</v>
      </c>
      <c r="U46" s="238"/>
      <c r="V46" s="270">
        <f>IF(C46="",NA(),MATCH($B46&amp;$C46,'Smelter Look-up'!$J:$J,0))</f>
        <v>44</v>
      </c>
      <c r="W46" s="271"/>
      <c r="X46" s="271">
        <f t="shared" si="7"/>
        <v>0</v>
      </c>
      <c r="Y46" s="271"/>
      <c r="Z46" s="271"/>
      <c r="AB46" s="273" t="str">
        <f t="shared" si="8"/>
        <v>GoldCCR Refinery - Glencore Canada Corporation</v>
      </c>
    </row>
    <row r="47" spans="1:28" s="272" customFormat="1" ht="20.25">
      <c r="A47" s="456"/>
      <c r="B47" s="457" t="s">
        <v>1130</v>
      </c>
      <c r="C47" s="461" t="s">
        <v>53</v>
      </c>
      <c r="D47" s="464"/>
      <c r="E47" s="457" t="s">
        <v>1107</v>
      </c>
      <c r="F47" s="457" t="s">
        <v>666</v>
      </c>
      <c r="G47" s="457" t="s">
        <v>13459</v>
      </c>
      <c r="H47" s="458">
        <v>0</v>
      </c>
      <c r="I47" s="459" t="s">
        <v>1576</v>
      </c>
      <c r="J47" s="459" t="s">
        <v>6576</v>
      </c>
      <c r="K47" s="462"/>
      <c r="L47" s="462"/>
      <c r="M47" s="462"/>
      <c r="N47" s="462"/>
      <c r="O47" s="462"/>
      <c r="P47" s="460"/>
      <c r="Q47" s="463"/>
      <c r="R47" s="215" t="str">
        <f ca="1">IF(ISERROR($V47),"",OFFSET('Smelter Look-up'!$C$4,$V47-4,0)&amp;"")</f>
        <v>Chimet S.p.A.</v>
      </c>
      <c r="S47" s="222" t="str">
        <f t="shared" ca="1" si="6"/>
        <v>IT</v>
      </c>
      <c r="T47" s="222" t="str">
        <f ca="1">IF(B47="","",IF(ISERROR(MATCH($J47,SorP!$B$1:$B$6230,0)),"",INDIRECT("'SorP'!$A$"&amp;MATCH($J47,SorP!$B$1:$B$6230,0))))</f>
        <v>IT-52</v>
      </c>
      <c r="U47" s="238"/>
      <c r="V47" s="270">
        <f>IF(C47="",NA(),MATCH($B47&amp;$C47,'Smelter Look-up'!$J:$J,0))</f>
        <v>52</v>
      </c>
      <c r="W47" s="271"/>
      <c r="X47" s="271">
        <f t="shared" si="7"/>
        <v>0</v>
      </c>
      <c r="Y47" s="271"/>
      <c r="Z47" s="271"/>
      <c r="AB47" s="273" t="str">
        <f t="shared" si="8"/>
        <v>GoldChimet S.p.A.</v>
      </c>
    </row>
    <row r="48" spans="1:28" s="272" customFormat="1" ht="20.25">
      <c r="A48" s="456"/>
      <c r="B48" s="457" t="s">
        <v>1130</v>
      </c>
      <c r="C48" s="461" t="s">
        <v>2275</v>
      </c>
      <c r="D48" s="464"/>
      <c r="E48" s="457" t="s">
        <v>1111</v>
      </c>
      <c r="F48" s="457" t="s">
        <v>670</v>
      </c>
      <c r="G48" s="457" t="s">
        <v>13459</v>
      </c>
      <c r="H48" s="458">
        <v>0</v>
      </c>
      <c r="I48" s="459" t="s">
        <v>1580</v>
      </c>
      <c r="J48" s="459" t="s">
        <v>13085</v>
      </c>
      <c r="K48" s="462"/>
      <c r="L48" s="462"/>
      <c r="M48" s="462"/>
      <c r="N48" s="462"/>
      <c r="O48" s="462"/>
      <c r="P48" s="460"/>
      <c r="Q48" s="463"/>
      <c r="R48" s="215" t="str">
        <f ca="1">IF(ISERROR($V48),"",OFFSET('Smelter Look-up'!$C$4,$V48-4,0)&amp;"")</f>
        <v>DSC (Do Sung Corporation)</v>
      </c>
      <c r="S48" s="222" t="str">
        <f t="shared" ca="1" si="6"/>
        <v>KR</v>
      </c>
      <c r="T48" s="222" t="str">
        <f ca="1">IF(B48="","",IF(ISERROR(MATCH($J48,SorP!$B$1:$B$6230,0)),"",INDIRECT("'SorP'!$A$"&amp;MATCH($J48,SorP!$B$1:$B$6230,0))))</f>
        <v>KR-41</v>
      </c>
      <c r="U48" s="238"/>
      <c r="V48" s="270">
        <f>IF(C48="",NA(),MATCH($B48&amp;$C48,'Smelter Look-up'!$J:$J,0))</f>
        <v>69</v>
      </c>
      <c r="W48" s="271"/>
      <c r="X48" s="271">
        <f t="shared" si="7"/>
        <v>0</v>
      </c>
      <c r="Y48" s="271"/>
      <c r="Z48" s="271"/>
      <c r="AB48" s="273" t="str">
        <f t="shared" si="8"/>
        <v>GoldDSC (Do Sung Corporation)</v>
      </c>
    </row>
    <row r="49" spans="1:28" s="272" customFormat="1" ht="20.25">
      <c r="A49" s="456"/>
      <c r="B49" s="457" t="s">
        <v>1130</v>
      </c>
      <c r="C49" s="461" t="s">
        <v>1227</v>
      </c>
      <c r="D49" s="464"/>
      <c r="E49" s="457" t="s">
        <v>1101</v>
      </c>
      <c r="F49" s="457" t="s">
        <v>680</v>
      </c>
      <c r="G49" s="457" t="s">
        <v>13459</v>
      </c>
      <c r="H49" s="458">
        <v>0</v>
      </c>
      <c r="I49" s="459" t="s">
        <v>1596</v>
      </c>
      <c r="J49" s="459" t="s">
        <v>4282</v>
      </c>
      <c r="K49" s="462"/>
      <c r="L49" s="462"/>
      <c r="M49" s="462"/>
      <c r="N49" s="462"/>
      <c r="O49" s="462"/>
      <c r="P49" s="460"/>
      <c r="Q49" s="463"/>
      <c r="R49" s="215" t="str">
        <f ca="1">IF(ISERROR($V49),"",OFFSET('Smelter Look-up'!$C$4,$V49-4,0)&amp;"")</f>
        <v>Heraeus Germany GmbH Co. KG</v>
      </c>
      <c r="S49" s="222" t="str">
        <f t="shared" ca="1" si="6"/>
        <v>DE</v>
      </c>
      <c r="T49" s="222" t="str">
        <f ca="1">IF(B49="","",IF(ISERROR(MATCH($J49,SorP!$B$1:$B$6230,0)),"",INDIRECT("'SorP'!$A$"&amp;MATCH($J49,SorP!$B$1:$B$6230,0))))</f>
        <v>DE-HE</v>
      </c>
      <c r="U49" s="238"/>
      <c r="V49" s="270">
        <f>IF(C49="",NA(),MATCH($B49&amp;$C49,'Smelter Look-up'!$J:$J,0))</f>
        <v>104</v>
      </c>
      <c r="W49" s="271"/>
      <c r="X49" s="271">
        <f t="shared" si="7"/>
        <v>0</v>
      </c>
      <c r="Y49" s="271"/>
      <c r="Z49" s="271"/>
      <c r="AB49" s="273" t="str">
        <f t="shared" si="8"/>
        <v>GoldHeraeus Precious Metals GmbH &amp; Co. KG</v>
      </c>
    </row>
    <row r="50" spans="1:28" s="272" customFormat="1" ht="25.5">
      <c r="A50" s="456"/>
      <c r="B50" s="457" t="s">
        <v>1130</v>
      </c>
      <c r="C50" s="461" t="s">
        <v>2324</v>
      </c>
      <c r="D50" s="464"/>
      <c r="E50" s="457" t="s">
        <v>1100</v>
      </c>
      <c r="F50" s="457" t="s">
        <v>683</v>
      </c>
      <c r="G50" s="457" t="s">
        <v>13459</v>
      </c>
      <c r="H50" s="458">
        <v>0</v>
      </c>
      <c r="I50" s="459" t="s">
        <v>1600</v>
      </c>
      <c r="J50" s="459" t="s">
        <v>13825</v>
      </c>
      <c r="K50" s="462"/>
      <c r="L50" s="462"/>
      <c r="M50" s="462"/>
      <c r="N50" s="462"/>
      <c r="O50" s="462"/>
      <c r="P50" s="460"/>
      <c r="Q50" s="463"/>
      <c r="R50" s="215" t="str">
        <f ca="1">IF(ISERROR($V50),"",OFFSET('Smelter Look-up'!$C$4,$V50-4,0)&amp;"")</f>
        <v>Inner Mongolia Qiankun Gold and Silver Refinery Share Co., Ltd.</v>
      </c>
      <c r="S50" s="222" t="str">
        <f t="shared" ca="1" si="6"/>
        <v>CN</v>
      </c>
      <c r="T50" s="222" t="str">
        <f ca="1">IF(B50="","",IF(ISERROR(MATCH($J50,SorP!$B$1:$B$6230,0)),"",INDIRECT("'SorP'!$A$"&amp;MATCH($J50,SorP!$B$1:$B$6230,0))))</f>
        <v>CN-NM</v>
      </c>
      <c r="U50" s="238"/>
      <c r="V50" s="270">
        <f>IF(C50="",NA(),MATCH($B50&amp;$C50,'Smelter Look-up'!$J:$J,0))</f>
        <v>112</v>
      </c>
      <c r="W50" s="271"/>
      <c r="X50" s="271">
        <f t="shared" si="7"/>
        <v>0</v>
      </c>
      <c r="Y50" s="271"/>
      <c r="Z50" s="271"/>
      <c r="AB50" s="273" t="str">
        <f t="shared" si="8"/>
        <v>GoldInner Mongolia Qiankun Gold and Silver Refinery Share Co., Ltd.</v>
      </c>
    </row>
    <row r="51" spans="1:28" s="272" customFormat="1" ht="20.25">
      <c r="A51" s="456"/>
      <c r="B51" s="457" t="s">
        <v>1130</v>
      </c>
      <c r="C51" s="461" t="s">
        <v>1235</v>
      </c>
      <c r="D51" s="464"/>
      <c r="E51" s="457" t="s">
        <v>889</v>
      </c>
      <c r="F51" s="457" t="s">
        <v>685</v>
      </c>
      <c r="G51" s="457" t="s">
        <v>13459</v>
      </c>
      <c r="H51" s="458">
        <v>0</v>
      </c>
      <c r="I51" s="459" t="s">
        <v>1602</v>
      </c>
      <c r="J51" s="459" t="s">
        <v>11478</v>
      </c>
      <c r="K51" s="462"/>
      <c r="L51" s="462"/>
      <c r="M51" s="462"/>
      <c r="N51" s="462"/>
      <c r="O51" s="462"/>
      <c r="P51" s="460"/>
      <c r="Q51" s="463"/>
      <c r="R51" s="215" t="str">
        <f ca="1">IF(ISERROR($V51),"",OFFSET('Smelter Look-up'!$C$4,$V51-4,0)&amp;"")</f>
        <v>Istanbul Gold Refinery</v>
      </c>
      <c r="S51" s="222" t="str">
        <f t="shared" ca="1" si="6"/>
        <v>TR</v>
      </c>
      <c r="T51" s="222" t="str">
        <f ca="1">IF(B51="","",IF(ISERROR(MATCH($J51,SorP!$B$1:$B$6230,0)),"",INDIRECT("'SorP'!$A$"&amp;MATCH($J51,SorP!$B$1:$B$6230,0))))</f>
        <v>TR-34</v>
      </c>
      <c r="U51" s="238"/>
      <c r="V51" s="270">
        <f>IF(C51="",NA(),MATCH($B51&amp;$C51,'Smelter Look-up'!$J:$J,0))</f>
        <v>115</v>
      </c>
      <c r="W51" s="271"/>
      <c r="X51" s="271">
        <f t="shared" si="7"/>
        <v>0</v>
      </c>
      <c r="Y51" s="271"/>
      <c r="Z51" s="271"/>
      <c r="AB51" s="273" t="str">
        <f t="shared" si="8"/>
        <v>GoldIstanbul Gold Refinery</v>
      </c>
    </row>
    <row r="52" spans="1:28" s="272" customFormat="1" ht="20.25">
      <c r="A52" s="456"/>
      <c r="B52" s="457" t="s">
        <v>1130</v>
      </c>
      <c r="C52" s="461" t="s">
        <v>908</v>
      </c>
      <c r="D52" s="464"/>
      <c r="E52" s="457" t="s">
        <v>1108</v>
      </c>
      <c r="F52" s="457" t="s">
        <v>686</v>
      </c>
      <c r="G52" s="457" t="s">
        <v>13459</v>
      </c>
      <c r="H52" s="458">
        <v>0</v>
      </c>
      <c r="I52" s="459" t="s">
        <v>1603</v>
      </c>
      <c r="J52" s="459" t="s">
        <v>1603</v>
      </c>
      <c r="K52" s="462"/>
      <c r="L52" s="462"/>
      <c r="M52" s="462"/>
      <c r="N52" s="462"/>
      <c r="O52" s="462"/>
      <c r="P52" s="460"/>
      <c r="Q52" s="463"/>
      <c r="R52" s="215" t="str">
        <f ca="1">IF(ISERROR($V52),"",OFFSET('Smelter Look-up'!$C$4,$V52-4,0)&amp;"")</f>
        <v>Japan Mint</v>
      </c>
      <c r="S52" s="222" t="str">
        <f t="shared" ca="1" si="6"/>
        <v>JP</v>
      </c>
      <c r="T52" s="222" t="str">
        <f ca="1">IF(B52="","",IF(ISERROR(MATCH($J52,SorP!$B$1:$B$6230,0)),"",INDIRECT("'SorP'!$A$"&amp;MATCH($J52,SorP!$B$1:$B$6230,0))))</f>
        <v>JP-27</v>
      </c>
      <c r="U52" s="238"/>
      <c r="V52" s="270">
        <f>IF(C52="",NA(),MATCH($B52&amp;$C52,'Smelter Look-up'!$J:$J,0))</f>
        <v>118</v>
      </c>
      <c r="W52" s="271"/>
      <c r="X52" s="271">
        <f t="shared" si="7"/>
        <v>0</v>
      </c>
      <c r="Y52" s="271"/>
      <c r="Z52" s="271"/>
      <c r="AB52" s="273" t="str">
        <f t="shared" si="8"/>
        <v>GoldJapan Mint</v>
      </c>
    </row>
    <row r="53" spans="1:28" s="272" customFormat="1" ht="20.25">
      <c r="A53" s="456"/>
      <c r="B53" s="457" t="s">
        <v>1130</v>
      </c>
      <c r="C53" s="461" t="s">
        <v>2325</v>
      </c>
      <c r="D53" s="464"/>
      <c r="E53" s="457" t="s">
        <v>1100</v>
      </c>
      <c r="F53" s="457" t="s">
        <v>687</v>
      </c>
      <c r="G53" s="457" t="s">
        <v>13459</v>
      </c>
      <c r="H53" s="458">
        <v>0</v>
      </c>
      <c r="I53" s="459" t="s">
        <v>1604</v>
      </c>
      <c r="J53" s="459" t="s">
        <v>13842</v>
      </c>
      <c r="K53" s="462"/>
      <c r="L53" s="462"/>
      <c r="M53" s="462"/>
      <c r="N53" s="462"/>
      <c r="O53" s="462"/>
      <c r="P53" s="460"/>
      <c r="Q53" s="463"/>
      <c r="R53" s="215" t="str">
        <f ca="1">IF(ISERROR($V53),"",OFFSET('Smelter Look-up'!$C$4,$V53-4,0)&amp;"")</f>
        <v>Jiangxi Copper Co., Ltd.</v>
      </c>
      <c r="S53" s="222" t="str">
        <f t="shared" ca="1" si="6"/>
        <v>CN</v>
      </c>
      <c r="T53" s="222" t="str">
        <f ca="1">IF(B53="","",IF(ISERROR(MATCH($J53,SorP!$B$1:$B$6230,0)),"",INDIRECT("'SorP'!$A$"&amp;MATCH($J53,SorP!$B$1:$B$6230,0))))</f>
        <v>CN-JX</v>
      </c>
      <c r="U53" s="238"/>
      <c r="V53" s="270">
        <f>IF(C53="",NA(),MATCH($B53&amp;$C53,'Smelter Look-up'!$J:$J,0))</f>
        <v>120</v>
      </c>
      <c r="W53" s="271"/>
      <c r="X53" s="271">
        <f t="shared" si="7"/>
        <v>0</v>
      </c>
      <c r="Y53" s="271"/>
      <c r="Z53" s="271"/>
      <c r="AB53" s="273" t="str">
        <f t="shared" si="8"/>
        <v>GoldJiangxi Copper Co., Ltd.</v>
      </c>
    </row>
    <row r="54" spans="1:28" s="272" customFormat="1" ht="25.5">
      <c r="A54" s="456"/>
      <c r="B54" s="457" t="s">
        <v>1130</v>
      </c>
      <c r="C54" s="461" t="s">
        <v>2217</v>
      </c>
      <c r="D54" s="464"/>
      <c r="E54" s="457" t="s">
        <v>2463</v>
      </c>
      <c r="F54" s="457" t="s">
        <v>688</v>
      </c>
      <c r="G54" s="457" t="s">
        <v>13459</v>
      </c>
      <c r="H54" s="458">
        <v>0</v>
      </c>
      <c r="I54" s="459" t="s">
        <v>1606</v>
      </c>
      <c r="J54" s="459" t="s">
        <v>1607</v>
      </c>
      <c r="K54" s="462"/>
      <c r="L54" s="462"/>
      <c r="M54" s="462"/>
      <c r="N54" s="462"/>
      <c r="O54" s="462"/>
      <c r="P54" s="460"/>
      <c r="Q54" s="463"/>
      <c r="R54" s="215" t="str">
        <f ca="1">IF(ISERROR($V54),"",OFFSET('Smelter Look-up'!$C$4,$V54-4,0)&amp;"")</f>
        <v>Asahi Refining USA Inc.</v>
      </c>
      <c r="S54" s="222" t="str">
        <f t="shared" ca="1" si="6"/>
        <v>US</v>
      </c>
      <c r="T54" s="222" t="str">
        <f ca="1">IF(B54="","",IF(ISERROR(MATCH($J54,SorP!$B$1:$B$6230,0)),"",INDIRECT("'SorP'!$A$"&amp;MATCH($J54,SorP!$B$1:$B$6230,0))))</f>
        <v>US-UT</v>
      </c>
      <c r="U54" s="238"/>
      <c r="V54" s="270">
        <f>IF(C54="",NA(),MATCH($B54&amp;$C54,'Smelter Look-up'!$J:$J,0))</f>
        <v>28</v>
      </c>
      <c r="W54" s="271"/>
      <c r="X54" s="271">
        <f t="shared" si="7"/>
        <v>0</v>
      </c>
      <c r="Y54" s="271"/>
      <c r="Z54" s="271"/>
      <c r="AB54" s="273" t="str">
        <f t="shared" si="8"/>
        <v>GoldAsahi Refining USA Inc.</v>
      </c>
    </row>
    <row r="55" spans="1:28" s="272" customFormat="1" ht="20.25">
      <c r="A55" s="456"/>
      <c r="B55" s="457" t="s">
        <v>1130</v>
      </c>
      <c r="C55" s="461" t="s">
        <v>2311</v>
      </c>
      <c r="D55" s="464"/>
      <c r="E55" s="457" t="s">
        <v>1097</v>
      </c>
      <c r="F55" s="457" t="s">
        <v>689</v>
      </c>
      <c r="G55" s="457" t="s">
        <v>13459</v>
      </c>
      <c r="H55" s="458">
        <v>0</v>
      </c>
      <c r="I55" s="459" t="s">
        <v>1609</v>
      </c>
      <c r="J55" s="459" t="s">
        <v>1610</v>
      </c>
      <c r="K55" s="462"/>
      <c r="L55" s="462"/>
      <c r="M55" s="462"/>
      <c r="N55" s="462"/>
      <c r="O55" s="462"/>
      <c r="P55" s="460"/>
      <c r="Q55" s="463"/>
      <c r="R55" s="215" t="str">
        <f ca="1">IF(ISERROR($V55),"",OFFSET('Smelter Look-up'!$C$4,$V55-4,0)&amp;"")</f>
        <v>Asahi Refining Canada Ltd.</v>
      </c>
      <c r="S55" s="222" t="str">
        <f t="shared" ca="1" si="6"/>
        <v>CA</v>
      </c>
      <c r="T55" s="222" t="str">
        <f ca="1">IF(B55="","",IF(ISERROR(MATCH($J55,SorP!$B$1:$B$6230,0)),"",INDIRECT("'SorP'!$A$"&amp;MATCH($J55,SorP!$B$1:$B$6230,0))))</f>
        <v>CA-ON</v>
      </c>
      <c r="U55" s="238"/>
      <c r="V55" s="270">
        <f>IF(C55="",NA(),MATCH($B55&amp;$C55,'Smelter Look-up'!$J:$J,0))</f>
        <v>27</v>
      </c>
      <c r="W55" s="271"/>
      <c r="X55" s="271">
        <f t="shared" si="7"/>
        <v>0</v>
      </c>
      <c r="Y55" s="271"/>
      <c r="Z55" s="271"/>
      <c r="AB55" s="273" t="str">
        <f t="shared" si="8"/>
        <v>GoldAsahi Refining Canada Ltd.</v>
      </c>
    </row>
    <row r="56" spans="1:28" s="272" customFormat="1" ht="20.25">
      <c r="A56" s="456"/>
      <c r="B56" s="457" t="s">
        <v>1130</v>
      </c>
      <c r="C56" s="461" t="s">
        <v>55</v>
      </c>
      <c r="D56" s="464"/>
      <c r="E56" s="457" t="s">
        <v>1108</v>
      </c>
      <c r="F56" s="457" t="s">
        <v>692</v>
      </c>
      <c r="G56" s="457" t="s">
        <v>13459</v>
      </c>
      <c r="H56" s="458">
        <v>0</v>
      </c>
      <c r="I56" s="459" t="s">
        <v>2393</v>
      </c>
      <c r="J56" s="459" t="s">
        <v>6770</v>
      </c>
      <c r="K56" s="462"/>
      <c r="L56" s="462"/>
      <c r="M56" s="462"/>
      <c r="N56" s="462"/>
      <c r="O56" s="462"/>
      <c r="P56" s="460"/>
      <c r="Q56" s="463"/>
      <c r="R56" s="215" t="str">
        <f ca="1">IF(ISERROR($V56),"",OFFSET('Smelter Look-up'!$C$4,$V56-4,0)&amp;"")</f>
        <v>JX Nippon Mining &amp; Metals Co., Ltd.</v>
      </c>
      <c r="S56" s="222" t="str">
        <f t="shared" ca="1" si="6"/>
        <v>JP</v>
      </c>
      <c r="T56" s="222" t="str">
        <f ca="1">IF(B56="","",IF(ISERROR(MATCH($J56,SorP!$B$1:$B$6230,0)),"",INDIRECT("'SorP'!$A$"&amp;MATCH($J56,SorP!$B$1:$B$6230,0))))</f>
        <v>JP-44</v>
      </c>
      <c r="U56" s="238"/>
      <c r="V56" s="270">
        <f>IF(C56="",NA(),MATCH($B56&amp;$C56,'Smelter Look-up'!$J:$J,0))</f>
        <v>128</v>
      </c>
      <c r="W56" s="271"/>
      <c r="X56" s="271">
        <f t="shared" si="7"/>
        <v>0</v>
      </c>
      <c r="Y56" s="271"/>
      <c r="Z56" s="271"/>
      <c r="AB56" s="273" t="str">
        <f t="shared" si="8"/>
        <v>GoldJX Nippon Mining &amp; Metals Co., Ltd.</v>
      </c>
    </row>
    <row r="57" spans="1:28" s="272" customFormat="1" ht="25.5">
      <c r="A57" s="456"/>
      <c r="B57" s="457" t="s">
        <v>1130</v>
      </c>
      <c r="C57" s="461" t="s">
        <v>910</v>
      </c>
      <c r="D57" s="464"/>
      <c r="E57" s="457" t="s">
        <v>2463</v>
      </c>
      <c r="F57" s="457" t="s">
        <v>703</v>
      </c>
      <c r="G57" s="457" t="s">
        <v>13459</v>
      </c>
      <c r="H57" s="458">
        <v>0</v>
      </c>
      <c r="I57" s="459" t="s">
        <v>1623</v>
      </c>
      <c r="J57" s="459" t="s">
        <v>1624</v>
      </c>
      <c r="K57" s="462"/>
      <c r="L57" s="462"/>
      <c r="M57" s="462"/>
      <c r="N57" s="462"/>
      <c r="O57" s="462"/>
      <c r="P57" s="460"/>
      <c r="Q57" s="463"/>
      <c r="R57" s="215" t="str">
        <f ca="1">IF(ISERROR($V57),"",OFFSET('Smelter Look-up'!$C$4,$V57-4,0)&amp;"")</f>
        <v>Materion</v>
      </c>
      <c r="S57" s="222" t="str">
        <f t="shared" ca="1" si="6"/>
        <v>US</v>
      </c>
      <c r="T57" s="222" t="str">
        <f ca="1">IF(B57="","",IF(ISERROR(MATCH($J57,SorP!$B$1:$B$6230,0)),"",INDIRECT("'SorP'!$A$"&amp;MATCH($J57,SorP!$B$1:$B$6230,0))))</f>
        <v>US-NY</v>
      </c>
      <c r="U57" s="238"/>
      <c r="V57" s="270">
        <f>IF(C57="",NA(),MATCH($B57&amp;$C57,'Smelter Look-up'!$J:$J,0))</f>
        <v>159</v>
      </c>
      <c r="W57" s="271"/>
      <c r="X57" s="271">
        <f t="shared" si="7"/>
        <v>0</v>
      </c>
      <c r="Y57" s="271"/>
      <c r="Z57" s="271"/>
      <c r="AB57" s="273" t="str">
        <f t="shared" si="8"/>
        <v>GoldMaterion</v>
      </c>
    </row>
    <row r="58" spans="1:28" s="272" customFormat="1" ht="20.25">
      <c r="A58" s="456"/>
      <c r="B58" s="457" t="s">
        <v>1130</v>
      </c>
      <c r="C58" s="461" t="s">
        <v>2166</v>
      </c>
      <c r="D58" s="464"/>
      <c r="E58" s="457" t="s">
        <v>1100</v>
      </c>
      <c r="F58" s="457" t="s">
        <v>705</v>
      </c>
      <c r="G58" s="457" t="s">
        <v>13459</v>
      </c>
      <c r="H58" s="458">
        <v>0</v>
      </c>
      <c r="I58" s="459" t="s">
        <v>1628</v>
      </c>
      <c r="J58" s="459" t="s">
        <v>14067</v>
      </c>
      <c r="K58" s="462"/>
      <c r="L58" s="462"/>
      <c r="M58" s="462"/>
      <c r="N58" s="462"/>
      <c r="O58" s="462"/>
      <c r="P58" s="460"/>
      <c r="Q58" s="463"/>
      <c r="R58" s="215" t="str">
        <f ca="1">IF(ISERROR($V58),"",OFFSET('Smelter Look-up'!$C$4,$V58-4,0)&amp;"")</f>
        <v>Metalor Technologies (Hong Kong) Ltd.</v>
      </c>
      <c r="S58" s="222" t="str">
        <f t="shared" ca="1" si="6"/>
        <v>CN</v>
      </c>
      <c r="T58" s="222" t="str">
        <f ca="1">IF(B58="","",IF(ISERROR(MATCH($J58,SorP!$B$1:$B$6230,0)),"",INDIRECT("'SorP'!$A$"&amp;MATCH($J58,SorP!$B$1:$B$6230,0))))</f>
        <v>CN-HK</v>
      </c>
      <c r="U58" s="238"/>
      <c r="V58" s="270">
        <f>IF(C58="",NA(),MATCH($B58&amp;$C58,'Smelter Look-up'!$J:$J,0))</f>
        <v>168</v>
      </c>
      <c r="W58" s="271"/>
      <c r="X58" s="271">
        <f t="shared" si="7"/>
        <v>0</v>
      </c>
      <c r="Y58" s="271"/>
      <c r="Z58" s="271"/>
      <c r="AB58" s="273" t="str">
        <f t="shared" si="8"/>
        <v>GoldMetalor Technologies (Hong Kong) Ltd.</v>
      </c>
    </row>
    <row r="59" spans="1:28" s="272" customFormat="1" ht="20.25">
      <c r="A59" s="456"/>
      <c r="B59" s="457" t="s">
        <v>1130</v>
      </c>
      <c r="C59" s="461" t="s">
        <v>2170</v>
      </c>
      <c r="D59" s="464"/>
      <c r="E59" s="457" t="s">
        <v>1108</v>
      </c>
      <c r="F59" s="457" t="s">
        <v>715</v>
      </c>
      <c r="G59" s="457" t="s">
        <v>13459</v>
      </c>
      <c r="H59" s="458">
        <v>0</v>
      </c>
      <c r="I59" s="459" t="s">
        <v>1640</v>
      </c>
      <c r="J59" s="459" t="s">
        <v>1641</v>
      </c>
      <c r="K59" s="462"/>
      <c r="L59" s="462"/>
      <c r="M59" s="462"/>
      <c r="N59" s="462"/>
      <c r="O59" s="462"/>
      <c r="P59" s="460"/>
      <c r="Q59" s="463"/>
      <c r="R59" s="215" t="str">
        <f ca="1">IF(ISERROR($V59),"",OFFSET('Smelter Look-up'!$C$4,$V59-4,0)&amp;"")</f>
        <v>Nihon Material Co., Ltd.</v>
      </c>
      <c r="S59" s="222" t="str">
        <f t="shared" ca="1" si="6"/>
        <v>JP</v>
      </c>
      <c r="T59" s="222" t="str">
        <f ca="1">IF(B59="","",IF(ISERROR(MATCH($J59,SorP!$B$1:$B$6230,0)),"",INDIRECT("'SorP'!$A$"&amp;MATCH($J59,SorP!$B$1:$B$6230,0))))</f>
        <v>JP-12</v>
      </c>
      <c r="U59" s="238"/>
      <c r="V59" s="270">
        <f>IF(C59="",NA(),MATCH($B59&amp;$C59,'Smelter Look-up'!$J:$J,0))</f>
        <v>188</v>
      </c>
      <c r="W59" s="271"/>
      <c r="X59" s="271">
        <f t="shared" si="7"/>
        <v>0</v>
      </c>
      <c r="Y59" s="271"/>
      <c r="Z59" s="271"/>
      <c r="AB59" s="273" t="str">
        <f t="shared" si="8"/>
        <v>GoldNihon Material Co., Ltd.</v>
      </c>
    </row>
    <row r="60" spans="1:28" s="272" customFormat="1" ht="20.25">
      <c r="A60" s="456"/>
      <c r="B60" s="457" t="s">
        <v>1130</v>
      </c>
      <c r="C60" s="461" t="s">
        <v>2339</v>
      </c>
      <c r="D60" s="464"/>
      <c r="E60" s="457" t="s">
        <v>1098</v>
      </c>
      <c r="F60" s="457" t="s">
        <v>718</v>
      </c>
      <c r="G60" s="457" t="s">
        <v>13459</v>
      </c>
      <c r="H60" s="458">
        <v>0</v>
      </c>
      <c r="I60" s="459" t="s">
        <v>1647</v>
      </c>
      <c r="J60" s="459" t="s">
        <v>1556</v>
      </c>
      <c r="K60" s="462"/>
      <c r="L60" s="462"/>
      <c r="M60" s="462"/>
      <c r="N60" s="462"/>
      <c r="O60" s="462"/>
      <c r="P60" s="460"/>
      <c r="Q60" s="463"/>
      <c r="R60" s="215" t="str">
        <f ca="1">IF(ISERROR($V60),"",OFFSET('Smelter Look-up'!$C$4,$V60-4,0)&amp;"")</f>
        <v>PAMP S.A.</v>
      </c>
      <c r="S60" s="222" t="str">
        <f t="shared" ca="1" si="6"/>
        <v>CH</v>
      </c>
      <c r="T60" s="222" t="str">
        <f ca="1">IF(B60="","",IF(ISERROR(MATCH($J60,SorP!$B$1:$B$6230,0)),"",INDIRECT("'SorP'!$A$"&amp;MATCH($J60,SorP!$B$1:$B$6230,0))))</f>
        <v>CH-TI</v>
      </c>
      <c r="U60" s="238"/>
      <c r="V60" s="270">
        <f>IF(C60="",NA(),MATCH($B60&amp;$C60,'Smelter Look-up'!$J:$J,0))</f>
        <v>197</v>
      </c>
      <c r="W60" s="271"/>
      <c r="X60" s="271">
        <f t="shared" si="7"/>
        <v>0</v>
      </c>
      <c r="Y60" s="271"/>
      <c r="Z60" s="271"/>
      <c r="AB60" s="273" t="str">
        <f t="shared" si="8"/>
        <v>GoldPAMP S.A.</v>
      </c>
    </row>
    <row r="61" spans="1:28" s="272" customFormat="1" ht="20.25">
      <c r="A61" s="456"/>
      <c r="B61" s="457" t="s">
        <v>1130</v>
      </c>
      <c r="C61" s="461" t="s">
        <v>913</v>
      </c>
      <c r="D61" s="464"/>
      <c r="E61" s="457" t="s">
        <v>1097</v>
      </c>
      <c r="F61" s="457" t="s">
        <v>724</v>
      </c>
      <c r="G61" s="457" t="s">
        <v>13459</v>
      </c>
      <c r="H61" s="458">
        <v>0</v>
      </c>
      <c r="I61" s="459" t="s">
        <v>1653</v>
      </c>
      <c r="J61" s="459" t="s">
        <v>1610</v>
      </c>
      <c r="K61" s="462"/>
      <c r="L61" s="462"/>
      <c r="M61" s="462"/>
      <c r="N61" s="462"/>
      <c r="O61" s="462"/>
      <c r="P61" s="460"/>
      <c r="Q61" s="463"/>
      <c r="R61" s="215" t="str">
        <f ca="1">IF(ISERROR($V61),"",OFFSET('Smelter Look-up'!$C$4,$V61-4,0)&amp;"")</f>
        <v>Royal Canadian Mint</v>
      </c>
      <c r="S61" s="222" t="str">
        <f t="shared" ca="1" si="6"/>
        <v>CA</v>
      </c>
      <c r="T61" s="222" t="str">
        <f ca="1">IF(B61="","",IF(ISERROR(MATCH($J61,SorP!$B$1:$B$6230,0)),"",INDIRECT("'SorP'!$A$"&amp;MATCH($J61,SorP!$B$1:$B$6230,0))))</f>
        <v>CA-ON</v>
      </c>
      <c r="U61" s="238"/>
      <c r="V61" s="270">
        <f>IF(C61="",NA(),MATCH($B61&amp;$C61,'Smelter Look-up'!$J:$J,0))</f>
        <v>215</v>
      </c>
      <c r="W61" s="271"/>
      <c r="X61" s="271">
        <f t="shared" si="7"/>
        <v>0</v>
      </c>
      <c r="Y61" s="271"/>
      <c r="Z61" s="271"/>
      <c r="AB61" s="273" t="str">
        <f t="shared" si="8"/>
        <v>GoldRoyal Canadian Mint</v>
      </c>
    </row>
    <row r="62" spans="1:28" s="272" customFormat="1" ht="25.5">
      <c r="A62" s="456"/>
      <c r="B62" s="457" t="s">
        <v>1130</v>
      </c>
      <c r="C62" s="461" t="s">
        <v>12645</v>
      </c>
      <c r="D62" s="464"/>
      <c r="E62" s="457" t="s">
        <v>1102</v>
      </c>
      <c r="F62" s="457" t="s">
        <v>727</v>
      </c>
      <c r="G62" s="457" t="s">
        <v>13459</v>
      </c>
      <c r="H62" s="458">
        <v>0</v>
      </c>
      <c r="I62" s="459" t="s">
        <v>1659</v>
      </c>
      <c r="J62" s="459" t="s">
        <v>4719</v>
      </c>
      <c r="K62" s="462"/>
      <c r="L62" s="462"/>
      <c r="M62" s="462"/>
      <c r="N62" s="462"/>
      <c r="O62" s="462"/>
      <c r="P62" s="460"/>
      <c r="Q62" s="463"/>
      <c r="R62" s="215" t="str">
        <f ca="1">IF(ISERROR($V62),"",OFFSET('Smelter Look-up'!$C$4,$V62-4,0)&amp;"")</f>
        <v>SEMPSA Joyeria Plateria S.A.</v>
      </c>
      <c r="S62" s="222" t="str">
        <f t="shared" ca="1" si="6"/>
        <v>ES</v>
      </c>
      <c r="T62" s="222" t="str">
        <f ca="1">IF(B62="","",IF(ISERROR(MATCH($J62,SorP!$B$1:$B$6230,0)),"",INDIRECT("'SorP'!$A$"&amp;MATCH($J62,SorP!$B$1:$B$6230,0))))</f>
        <v>ES-MD</v>
      </c>
      <c r="U62" s="238"/>
      <c r="V62" s="270">
        <f>IF(C62="",NA(),MATCH($B62&amp;$C62,'Smelter Look-up'!$J:$J,0))</f>
        <v>229</v>
      </c>
      <c r="W62" s="271"/>
      <c r="X62" s="271">
        <f t="shared" si="7"/>
        <v>0</v>
      </c>
      <c r="Y62" s="271"/>
      <c r="Z62" s="271"/>
      <c r="AB62" s="273" t="str">
        <f t="shared" si="8"/>
        <v>GoldSEMPSA Joyeria Plateria S.A.</v>
      </c>
    </row>
    <row r="63" spans="1:28" s="272" customFormat="1" ht="25.5">
      <c r="A63" s="456"/>
      <c r="B63" s="457" t="s">
        <v>1130</v>
      </c>
      <c r="C63" s="461" t="s">
        <v>2176</v>
      </c>
      <c r="D63" s="464"/>
      <c r="E63" s="457" t="s">
        <v>1100</v>
      </c>
      <c r="F63" s="457" t="s">
        <v>728</v>
      </c>
      <c r="G63" s="457" t="s">
        <v>13459</v>
      </c>
      <c r="H63" s="458">
        <v>0</v>
      </c>
      <c r="I63" s="459" t="s">
        <v>1592</v>
      </c>
      <c r="J63" s="459" t="s">
        <v>13843</v>
      </c>
      <c r="K63" s="462"/>
      <c r="L63" s="462"/>
      <c r="M63" s="462"/>
      <c r="N63" s="462"/>
      <c r="O63" s="462"/>
      <c r="P63" s="460"/>
      <c r="Q63" s="463"/>
      <c r="R63" s="215" t="str">
        <f ca="1">IF(ISERROR($V63),"",OFFSET('Smelter Look-up'!$C$4,$V63-4,0)&amp;"")</f>
        <v>Shandong Zhaojin Gold &amp; Silver Refinery Co., Ltd.</v>
      </c>
      <c r="S63" s="222" t="str">
        <f t="shared" ca="1" si="6"/>
        <v>CN</v>
      </c>
      <c r="T63" s="222" t="str">
        <f ca="1">IF(B63="","",IF(ISERROR(MATCH($J63,SorP!$B$1:$B$6230,0)),"",INDIRECT("'SorP'!$A$"&amp;MATCH($J63,SorP!$B$1:$B$6230,0))))</f>
        <v>CN-SD</v>
      </c>
      <c r="U63" s="238"/>
      <c r="V63" s="270">
        <f>IF(C63="",NA(),MATCH($B63&amp;$C63,'Smelter Look-up'!$J:$J,0))</f>
        <v>241</v>
      </c>
      <c r="W63" s="271"/>
      <c r="X63" s="271">
        <f t="shared" si="7"/>
        <v>0</v>
      </c>
      <c r="Y63" s="271"/>
      <c r="Z63" s="271"/>
      <c r="AB63" s="273" t="str">
        <f t="shared" si="8"/>
        <v>GoldShandong Zhaojin Gold &amp; Silver Refinery Co., Ltd.</v>
      </c>
    </row>
    <row r="64" spans="1:28" s="272" customFormat="1" ht="20.25">
      <c r="A64" s="456"/>
      <c r="B64" s="457" t="s">
        <v>1130</v>
      </c>
      <c r="C64" s="461" t="s">
        <v>58</v>
      </c>
      <c r="D64" s="464"/>
      <c r="E64" s="457" t="s">
        <v>1108</v>
      </c>
      <c r="F64" s="457" t="s">
        <v>731</v>
      </c>
      <c r="G64" s="457" t="s">
        <v>13459</v>
      </c>
      <c r="H64" s="458">
        <v>0</v>
      </c>
      <c r="I64" s="459" t="s">
        <v>1670</v>
      </c>
      <c r="J64" s="459" t="s">
        <v>2231</v>
      </c>
      <c r="K64" s="462"/>
      <c r="L64" s="462"/>
      <c r="M64" s="462"/>
      <c r="N64" s="462"/>
      <c r="O64" s="462"/>
      <c r="P64" s="460"/>
      <c r="Q64" s="463"/>
      <c r="R64" s="215" t="str">
        <f ca="1">IF(ISERROR($V64),"",OFFSET('Smelter Look-up'!$C$4,$V64-4,0)&amp;"")</f>
        <v>Sumitomo Metal Mining Co., Ltd.</v>
      </c>
      <c r="S64" s="222" t="str">
        <f t="shared" ca="1" si="6"/>
        <v>JP</v>
      </c>
      <c r="T64" s="222" t="str">
        <f ca="1">IF(B64="","",IF(ISERROR(MATCH($J64,SorP!$B$1:$B$6230,0)),"",INDIRECT("'SorP'!$A$"&amp;MATCH($J64,SorP!$B$1:$B$6230,0))))</f>
        <v>JP-38</v>
      </c>
      <c r="U64" s="238"/>
      <c r="V64" s="270">
        <f>IF(C64="",NA(),MATCH($B64&amp;$C64,'Smelter Look-up'!$J:$J,0))</f>
        <v>259</v>
      </c>
      <c r="W64" s="271"/>
      <c r="X64" s="271">
        <f t="shared" si="7"/>
        <v>0</v>
      </c>
      <c r="Y64" s="271"/>
      <c r="Z64" s="271"/>
      <c r="AB64" s="273" t="str">
        <f t="shared" si="8"/>
        <v>GoldSumitomo Metal Mining Co., Ltd.</v>
      </c>
    </row>
    <row r="65" spans="1:28" s="272" customFormat="1" ht="25.5">
      <c r="A65" s="456"/>
      <c r="B65" s="457" t="s">
        <v>1130</v>
      </c>
      <c r="C65" s="461" t="s">
        <v>2179</v>
      </c>
      <c r="D65" s="464"/>
      <c r="E65" s="457" t="s">
        <v>1100</v>
      </c>
      <c r="F65" s="457" t="s">
        <v>734</v>
      </c>
      <c r="G65" s="457" t="s">
        <v>13459</v>
      </c>
      <c r="H65" s="458">
        <v>0</v>
      </c>
      <c r="I65" s="459" t="s">
        <v>1663</v>
      </c>
      <c r="J65" s="459" t="s">
        <v>13843</v>
      </c>
      <c r="K65" s="462"/>
      <c r="L65" s="462"/>
      <c r="M65" s="462"/>
      <c r="N65" s="462"/>
      <c r="O65" s="462"/>
      <c r="P65" s="460"/>
      <c r="Q65" s="463"/>
      <c r="R65" s="215" t="str">
        <f ca="1">IF(ISERROR($V65),"",OFFSET('Smelter Look-up'!$C$4,$V65-4,0)&amp;"")</f>
        <v>Shandong Gold Smelting Co., Ltd.</v>
      </c>
      <c r="S65" s="222" t="str">
        <f t="shared" ca="1" si="6"/>
        <v>CN</v>
      </c>
      <c r="T65" s="222" t="str">
        <f ca="1">IF(B65="","",IF(ISERROR(MATCH($J65,SorP!$B$1:$B$6230,0)),"",INDIRECT("'SorP'!$A$"&amp;MATCH($J65,SorP!$B$1:$B$6230,0))))</f>
        <v>CN-SD</v>
      </c>
      <c r="U65" s="238"/>
      <c r="V65" s="270">
        <f>IF(C65="",NA(),MATCH($B65&amp;$C65,'Smelter Look-up'!$J:$J,0))</f>
        <v>275</v>
      </c>
      <c r="W65" s="271"/>
      <c r="X65" s="271">
        <f t="shared" si="7"/>
        <v>0</v>
      </c>
      <c r="Y65" s="271"/>
      <c r="Z65" s="271"/>
      <c r="AB65" s="273" t="str">
        <f t="shared" si="8"/>
        <v>GoldThe Refinery of Shandong Gold Mining Co., Ltd.</v>
      </c>
    </row>
    <row r="66" spans="1:28" s="272" customFormat="1" ht="25.5">
      <c r="A66" s="456"/>
      <c r="B66" s="457" t="s">
        <v>1130</v>
      </c>
      <c r="C66" s="461" t="s">
        <v>820</v>
      </c>
      <c r="D66" s="464"/>
      <c r="E66" s="457" t="s">
        <v>2463</v>
      </c>
      <c r="F66" s="457" t="s">
        <v>739</v>
      </c>
      <c r="G66" s="457" t="s">
        <v>13459</v>
      </c>
      <c r="H66" s="458">
        <v>0</v>
      </c>
      <c r="I66" s="459" t="s">
        <v>1686</v>
      </c>
      <c r="J66" s="459" t="s">
        <v>1624</v>
      </c>
      <c r="K66" s="462"/>
      <c r="L66" s="462"/>
      <c r="M66" s="462"/>
      <c r="N66" s="462"/>
      <c r="O66" s="462"/>
      <c r="P66" s="460"/>
      <c r="Q66" s="463"/>
      <c r="R66" s="215" t="str">
        <f ca="1">IF(ISERROR($V66),"",OFFSET('Smelter Look-up'!$C$4,$V66-4,0)&amp;"")</f>
        <v>United Precious Metal Refining, Inc.</v>
      </c>
      <c r="S66" s="222" t="str">
        <f t="shared" ca="1" si="6"/>
        <v>US</v>
      </c>
      <c r="T66" s="222" t="str">
        <f ca="1">IF(B66="","",IF(ISERROR(MATCH($J66,SorP!$B$1:$B$6230,0)),"",INDIRECT("'SorP'!$A$"&amp;MATCH($J66,SorP!$B$1:$B$6230,0))))</f>
        <v>US-NY</v>
      </c>
      <c r="U66" s="238"/>
      <c r="V66" s="270">
        <f>IF(C66="",NA(),MATCH($B66&amp;$C66,'Smelter Look-up'!$J:$J,0))</f>
        <v>287</v>
      </c>
      <c r="W66" s="271"/>
      <c r="X66" s="271">
        <f t="shared" si="7"/>
        <v>0</v>
      </c>
      <c r="Y66" s="271"/>
      <c r="Z66" s="271"/>
      <c r="AB66" s="273" t="str">
        <f t="shared" si="8"/>
        <v>GoldUnited Precious Metal Refining, Inc.</v>
      </c>
    </row>
    <row r="67" spans="1:28" s="272" customFormat="1" ht="20.25">
      <c r="A67" s="456"/>
      <c r="B67" s="457" t="s">
        <v>1130</v>
      </c>
      <c r="C67" s="461" t="s">
        <v>2519</v>
      </c>
      <c r="D67" s="464"/>
      <c r="E67" s="457" t="s">
        <v>1093</v>
      </c>
      <c r="F67" s="457" t="s">
        <v>741</v>
      </c>
      <c r="G67" s="457" t="s">
        <v>13459</v>
      </c>
      <c r="H67" s="458">
        <v>0</v>
      </c>
      <c r="I67" s="459" t="s">
        <v>1688</v>
      </c>
      <c r="J67" s="459" t="s">
        <v>1689</v>
      </c>
      <c r="K67" s="462"/>
      <c r="L67" s="462"/>
      <c r="M67" s="462"/>
      <c r="N67" s="462"/>
      <c r="O67" s="462"/>
      <c r="P67" s="460"/>
      <c r="Q67" s="463"/>
      <c r="R67" s="215" t="str">
        <f ca="1">IF(ISERROR($V67),"",OFFSET('Smelter Look-up'!$C$4,$V67-4,0)&amp;"")</f>
        <v>Western Australian Mint (T/a The Perth Mint)</v>
      </c>
      <c r="S67" s="222" t="str">
        <f t="shared" ca="1" si="6"/>
        <v>AU</v>
      </c>
      <c r="T67" s="222" t="str">
        <f ca="1">IF(B67="","",IF(ISERROR(MATCH($J67,SorP!$B$1:$B$6230,0)),"",INDIRECT("'SorP'!$A$"&amp;MATCH($J67,SorP!$B$1:$B$6230,0))))</f>
        <v>AU-WA</v>
      </c>
      <c r="U67" s="238"/>
      <c r="V67" s="270">
        <f>IF(C67="",NA(),MATCH($B67&amp;$C67,'Smelter Look-up'!$J:$J,0))</f>
        <v>291</v>
      </c>
      <c r="W67" s="271"/>
      <c r="X67" s="271">
        <f t="shared" si="7"/>
        <v>0</v>
      </c>
      <c r="Y67" s="271"/>
      <c r="Z67" s="271"/>
      <c r="AB67" s="273" t="str">
        <f t="shared" si="8"/>
        <v>GoldWestern Australian Mint (T/a The Perth Mint)</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1D5ECE9-7CA4-441E-BA1F-80A6655BD8E3}"/>
    </customSheetView>
  </customSheetViews>
  <mergeCells count="3">
    <mergeCell ref="J2:O2"/>
    <mergeCell ref="B3:E3"/>
    <mergeCell ref="G3:I3"/>
  </mergeCells>
  <conditionalFormatting sqref="B586:B2504">
    <cfRule type="expression" dxfId="58" priority="38" stopIfTrue="1">
      <formula>IF(B586="",TRUE)</formula>
    </cfRule>
    <cfRule type="expression" dxfId="57" priority="49" stopIfTrue="1">
      <formula>IF(AND(COUNTIF(MetalSmelter,B586&amp;C586)=0,LEN(C586)&gt;0),TRUE,FALSE)</formula>
    </cfRule>
  </conditionalFormatting>
  <conditionalFormatting sqref="D586:D2504">
    <cfRule type="expression" dxfId="56" priority="32" stopIfTrue="1">
      <formula>IF(AND(LEN($C586)&gt;0,($C586&lt;&gt;"Smelter Not Listed")),1,0)</formula>
    </cfRule>
    <cfRule type="expression" dxfId="55" priority="57" stopIfTrue="1">
      <formula>IF(AND(D586="",$C586=$X$4),TRUE)</formula>
    </cfRule>
    <cfRule type="expression" dxfId="54" priority="58" stopIfTrue="1">
      <formula>IF(FIND("!",D586),TRUE)</formula>
    </cfRule>
  </conditionalFormatting>
  <conditionalFormatting sqref="G586:G2504">
    <cfRule type="expression" dxfId="53" priority="59" stopIfTrue="1">
      <formula>IF(FIND("Enter smelter details",G586),TRUE)</formula>
    </cfRule>
  </conditionalFormatting>
  <conditionalFormatting sqref="R586:R2505 E586:E2504">
    <cfRule type="expression" dxfId="52" priority="45" stopIfTrue="1">
      <formula>IF(AND(E586="",$C586=$X$4),TRUE)</formula>
    </cfRule>
    <cfRule type="expression" dxfId="51" priority="46" stopIfTrue="1">
      <formula>IF(FIND("!",E586),TRUE)</formula>
    </cfRule>
  </conditionalFormatting>
  <conditionalFormatting sqref="F586:F2504">
    <cfRule type="expression" dxfId="50" priority="36" stopIfTrue="1">
      <formula>IF(AND(LEN($A586)&gt;0,$A586&lt;&gt;$F586),TRUE,FALSE)</formula>
    </cfRule>
  </conditionalFormatting>
  <conditionalFormatting sqref="C586:C2504">
    <cfRule type="expression" dxfId="49" priority="35" stopIfTrue="1">
      <formula>IF(AND(B586&lt;&gt;"",C586=""),TRUE)</formula>
    </cfRule>
  </conditionalFormatting>
  <conditionalFormatting sqref="B21:B585 B5:B19">
    <cfRule type="expression" dxfId="48" priority="14" stopIfTrue="1">
      <formula>IF(B5="",TRUE)</formula>
    </cfRule>
    <cfRule type="expression" dxfId="47" priority="17" stopIfTrue="1">
      <formula>IF(AND(COUNTIF(MetalSmelter,B5&amp;C5)=0,LEN(C5)&gt;0),TRUE,FALSE)</formula>
    </cfRule>
  </conditionalFormatting>
  <conditionalFormatting sqref="D5:D19 D21:D585">
    <cfRule type="expression" dxfId="46" priority="11" stopIfTrue="1">
      <formula>IF(AND(LEN($C5)&gt;0,($C5&lt;&gt;"Smelter Not Listed")),1,0)</formula>
    </cfRule>
    <cfRule type="expression" dxfId="45" priority="18" stopIfTrue="1">
      <formula>IF(AND(D5="",$C5=$X$4),TRUE)</formula>
    </cfRule>
    <cfRule type="expression" dxfId="44" priority="19" stopIfTrue="1">
      <formula>IF(FIND("!",D5),TRUE)</formula>
    </cfRule>
  </conditionalFormatting>
  <conditionalFormatting sqref="G5:G19 G21:G585">
    <cfRule type="expression" dxfId="43" priority="20" stopIfTrue="1">
      <formula>IF(FIND("Enter smelter details",G5),TRUE)</formula>
    </cfRule>
  </conditionalFormatting>
  <conditionalFormatting sqref="R5:R585 E5:E19 E21:E585">
    <cfRule type="expression" dxfId="42" priority="15" stopIfTrue="1">
      <formula>IF(AND(E5="",$C5=$X$4),TRUE)</formula>
    </cfRule>
    <cfRule type="expression" dxfId="41" priority="16" stopIfTrue="1">
      <formula>IF(FIND("!",E5),TRUE)</formula>
    </cfRule>
  </conditionalFormatting>
  <conditionalFormatting sqref="F5:F19 F21:F585">
    <cfRule type="expression" dxfId="40" priority="13" stopIfTrue="1">
      <formula>IF(AND(LEN($A5)&gt;0,$A5&lt;&gt;$F5),TRUE,FALSE)</formula>
    </cfRule>
  </conditionalFormatting>
  <conditionalFormatting sqref="C21:C585 C5:C19">
    <cfRule type="expression" dxfId="39" priority="12" stopIfTrue="1">
      <formula>IF(AND(B5&lt;&gt;"",C5=""),TRUE)</formula>
    </cfRule>
  </conditionalFormatting>
  <conditionalFormatting sqref="B20">
    <cfRule type="expression" dxfId="38" priority="4" stopIfTrue="1">
      <formula>IF(B20="",TRUE)</formula>
    </cfRule>
    <cfRule type="expression" dxfId="37" priority="7" stopIfTrue="1">
      <formula>IF(AND(COUNTIF(MetalSmelter,B20&amp;C20)=0,LEN(C20)&gt;0),TRUE,FALSE)</formula>
    </cfRule>
  </conditionalFormatting>
  <conditionalFormatting sqref="D20">
    <cfRule type="expression" dxfId="36" priority="1" stopIfTrue="1">
      <formula>IF(AND(LEN($C20)&gt;0,($C20&lt;&gt;"Smelter Not Listed")),1,0)</formula>
    </cfRule>
    <cfRule type="expression" dxfId="35" priority="8" stopIfTrue="1">
      <formula>IF(AND(D20="",$C20=$X$4),TRUE)</formula>
    </cfRule>
    <cfRule type="expression" dxfId="34" priority="9" stopIfTrue="1">
      <formula>IF(FIND("!",D20),TRUE)</formula>
    </cfRule>
  </conditionalFormatting>
  <conditionalFormatting sqref="G20">
    <cfRule type="expression" dxfId="33" priority="10" stopIfTrue="1">
      <formula>IF(FIND("Enter smelter details",G20),TRUE)</formula>
    </cfRule>
  </conditionalFormatting>
  <conditionalFormatting sqref="E20">
    <cfRule type="expression" dxfId="32" priority="5" stopIfTrue="1">
      <formula>IF(AND(E20="",$C20=$X$4),TRUE)</formula>
    </cfRule>
    <cfRule type="expression" dxfId="31" priority="6" stopIfTrue="1">
      <formula>IF(FIND("!",E20),TRUE)</formula>
    </cfRule>
  </conditionalFormatting>
  <conditionalFormatting sqref="F20">
    <cfRule type="expression" dxfId="30" priority="3" stopIfTrue="1">
      <formula>IF(AND(LEN($A20)&gt;0,$A20&lt;&gt;$F20),TRUE,FALSE)</formula>
    </cfRule>
  </conditionalFormatting>
  <conditionalFormatting sqref="C20">
    <cfRule type="expression" dxfId="29"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Avidyne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Fernando Treviño-Garza</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ftrevino@avidyne.com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+1 321-751-8520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Fernando Treviño-Garza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ftrevino@avidyne.com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https://www.avidyne.com/avidyne-quality/</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8" priority="358" stopIfTrue="1">
      <formula>$H$56=0</formula>
    </cfRule>
  </conditionalFormatting>
  <conditionalFormatting sqref="B66">
    <cfRule type="expression" dxfId="27" priority="39" stopIfTrue="1">
      <formula>IF(F66=0,TRUE)</formula>
    </cfRule>
  </conditionalFormatting>
  <conditionalFormatting sqref="B67">
    <cfRule type="expression" dxfId="26" priority="35" stopIfTrue="1">
      <formula>IF(F67=0,TRUE)</formula>
    </cfRule>
  </conditionalFormatting>
  <conditionalFormatting sqref="B68:B69">
    <cfRule type="expression" dxfId="25" priority="31" stopIfTrue="1">
      <formula>IF(F68=0,TRUE)</formula>
    </cfRule>
  </conditionalFormatting>
  <conditionalFormatting sqref="C69">
    <cfRule type="expression" dxfId="24" priority="13" stopIfTrue="1">
      <formula>C69="Not Required"</formula>
    </cfRule>
    <cfRule type="expression" dxfId="23" priority="21" stopIfTrue="1">
      <formula>OR(C69="Complete",C69="填写",C69="記入",C69="완료",C69="Complétez",C69="Concluído",C69="Vollständig",C69="Completare",C69="Doldurun")</formula>
    </cfRule>
  </conditionalFormatting>
  <conditionalFormatting sqref="A69">
    <cfRule type="expression" dxfId="22" priority="14" stopIfTrue="1">
      <formula>C69="Not Required"</formula>
    </cfRule>
    <cfRule type="expression" dxfId="2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C69 A69">
    <cfRule type="expression" dxfId="17" priority="11" stopIfTrue="1">
      <formula>IF(AND($F$69=1,$G$69=1),TRUE,FALSE)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9" priority="25" stopIfTrue="1" operator="equal">
      <formula>"Yes"</formula>
    </cfRule>
  </conditionalFormatting>
  <conditionalFormatting sqref="K5">
    <cfRule type="cellIs" dxfId="8" priority="9" stopIfTrue="1" operator="equal">
      <formula>"Yes"</formula>
    </cfRule>
  </conditionalFormatting>
  <conditionalFormatting sqref="J292:J293">
    <cfRule type="cellIs" dxfId="7" priority="7" stopIfTrue="1" operator="equal">
      <formula>"Yes"</formula>
    </cfRule>
  </conditionalFormatting>
  <conditionalFormatting sqref="J354:J355">
    <cfRule type="cellIs" dxfId="6" priority="6" stopIfTrue="1" operator="equal">
      <formula>"Yes"</formula>
    </cfRule>
  </conditionalFormatting>
  <conditionalFormatting sqref="J486:J487">
    <cfRule type="cellIs" dxfId="5" priority="5" stopIfTrue="1" operator="equal">
      <formula>"Yes"</formula>
    </cfRule>
  </conditionalFormatting>
  <conditionalFormatting sqref="J313:J314">
    <cfRule type="cellIs" dxfId="4" priority="4" stopIfTrue="1" operator="equal">
      <formula>"Yes"</formula>
    </cfRule>
  </conditionalFormatting>
  <conditionalFormatting sqref="J381:J382">
    <cfRule type="cellIs" dxfId="3" priority="3" stopIfTrue="1" operator="equal">
      <formula>"Yes"</formula>
    </cfRule>
  </conditionalFormatting>
  <conditionalFormatting sqref="J531:J532">
    <cfRule type="cellIs" dxfId="2" priority="2" stopIfTrue="1" operator="equal">
      <formula>"Yes"</formula>
    </cfRule>
  </conditionalFormatting>
  <conditionalFormatting sqref="J609:J610">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Fernando Trevino</cp:lastModifiedBy>
  <cp:lastPrinted>2015-04-21T20:47:43Z</cp:lastPrinted>
  <dcterms:created xsi:type="dcterms:W3CDTF">2010-06-21T21:00:23Z</dcterms:created>
  <dcterms:modified xsi:type="dcterms:W3CDTF">2021-08-31T14:13:05Z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